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120" windowWidth="11532" windowHeight="6732" tabRatio="598" firstSheet="3" activeTab="3"/>
  </bookViews>
  <sheets>
    <sheet name="Info" sheetId="106" r:id="rId1"/>
    <sheet name="Entrada Recría (diario)" sheetId="2" r:id="rId2"/>
    <sheet name="Entrada Recría (semanal)" sheetId="107" r:id="rId3"/>
    <sheet name="Entrada Prod (diario)" sheetId="3" r:id="rId4"/>
    <sheet name="Entrada Prod (semanal)" sheetId="108" r:id="rId5"/>
    <sheet name="Salida Recría" sheetId="4" r:id="rId6"/>
    <sheet name="Salida Prod" sheetId="5" r:id="rId7"/>
    <sheet name="Salida pc,cp,ca,ic" sheetId="6" r:id="rId8"/>
    <sheet name="Graf Recría" sheetId="7" r:id="rId9"/>
    <sheet name="Graf Prod" sheetId="8" r:id="rId10"/>
    <sheet name="Graf pc,cp,ca,ic" sheetId="9" r:id="rId11"/>
    <sheet name="Tabelle6" sheetId="10" state="hidden" r:id="rId12"/>
    <sheet name="Tabelle7" sheetId="11" state="hidden" r:id="rId13"/>
    <sheet name="Tabelle8" sheetId="12" state="hidden" r:id="rId14"/>
    <sheet name="Tabelle9" sheetId="13" state="hidden" r:id="rId15"/>
    <sheet name="Tabelle10" sheetId="14" state="hidden" r:id="rId16"/>
    <sheet name="Tabelle11" sheetId="15" state="hidden" r:id="rId17"/>
    <sheet name="Tabelle12" sheetId="16" state="hidden" r:id="rId18"/>
    <sheet name="Tabelle13" sheetId="17" state="hidden" r:id="rId19"/>
    <sheet name="Tabelle14" sheetId="18" state="hidden" r:id="rId20"/>
    <sheet name="Tabelle15" sheetId="19" state="hidden" r:id="rId21"/>
    <sheet name="Tabelle16" sheetId="20" state="hidden" r:id="rId22"/>
    <sheet name="Tabelle17" sheetId="21" state="hidden" r:id="rId23"/>
    <sheet name="Tabelle18" sheetId="22" state="hidden" r:id="rId24"/>
    <sheet name="Tabelle19" sheetId="23" state="hidden" r:id="rId25"/>
    <sheet name="Tabelle20" sheetId="24" state="hidden" r:id="rId26"/>
    <sheet name="Tabelle21" sheetId="25" state="hidden" r:id="rId27"/>
    <sheet name="Tabelle22" sheetId="26" state="hidden" r:id="rId28"/>
    <sheet name="Tabelle23" sheetId="27" state="hidden" r:id="rId29"/>
    <sheet name="Tabelle24" sheetId="28" state="hidden" r:id="rId30"/>
    <sheet name="Tabelle25" sheetId="29" state="hidden" r:id="rId31"/>
    <sheet name="Tabelle26" sheetId="30" state="hidden" r:id="rId32"/>
    <sheet name="Tabelle27" sheetId="31" state="hidden" r:id="rId33"/>
    <sheet name="Tabelle28" sheetId="32" state="hidden" r:id="rId34"/>
    <sheet name="Tabelle29" sheetId="33" state="hidden" r:id="rId35"/>
    <sheet name="Tabelle30" sheetId="34" state="hidden" r:id="rId36"/>
    <sheet name="Tabelle31" sheetId="35" state="hidden" r:id="rId37"/>
    <sheet name="Tabelle32" sheetId="36" state="hidden" r:id="rId38"/>
    <sheet name="Tabelle33" sheetId="37" state="hidden" r:id="rId39"/>
    <sheet name="Tabelle34" sheetId="38" state="hidden" r:id="rId40"/>
    <sheet name="Tabelle35" sheetId="39" state="hidden" r:id="rId41"/>
    <sheet name="Tabelle36" sheetId="40" state="hidden" r:id="rId42"/>
    <sheet name="Tabelle37" sheetId="41" state="hidden" r:id="rId43"/>
    <sheet name="Tabelle38" sheetId="42" state="hidden" r:id="rId44"/>
    <sheet name="Tabelle39" sheetId="43" state="hidden" r:id="rId45"/>
    <sheet name="Tabelle40" sheetId="44" state="hidden" r:id="rId46"/>
    <sheet name="Tabelle41" sheetId="45" state="hidden" r:id="rId47"/>
    <sheet name="Tabelle42" sheetId="46" state="hidden" r:id="rId48"/>
    <sheet name="Tabelle43" sheetId="47" state="hidden" r:id="rId49"/>
    <sheet name="Tabelle44" sheetId="48" state="hidden" r:id="rId50"/>
    <sheet name="Tabelle45" sheetId="49" state="hidden" r:id="rId51"/>
    <sheet name="Tabelle46" sheetId="50" state="hidden" r:id="rId52"/>
    <sheet name="Tabelle47" sheetId="51" state="hidden" r:id="rId53"/>
    <sheet name="Tabelle48" sheetId="52" state="hidden" r:id="rId54"/>
    <sheet name="Tabelle49" sheetId="53" state="hidden" r:id="rId55"/>
    <sheet name="Tabelle50" sheetId="54" state="hidden" r:id="rId56"/>
    <sheet name="Tabelle51" sheetId="55" state="hidden" r:id="rId57"/>
    <sheet name="Tabelle52" sheetId="56" state="hidden" r:id="rId58"/>
    <sheet name="Tabelle53" sheetId="57" state="hidden" r:id="rId59"/>
    <sheet name="Tabelle54" sheetId="58" state="hidden" r:id="rId60"/>
    <sheet name="Tabelle55" sheetId="59" state="hidden" r:id="rId61"/>
    <sheet name="Tabelle56" sheetId="60" state="hidden" r:id="rId62"/>
    <sheet name="Tabelle57" sheetId="61" state="hidden" r:id="rId63"/>
    <sheet name="Tabelle58" sheetId="62" state="hidden" r:id="rId64"/>
    <sheet name="Tabelle59" sheetId="63" state="hidden" r:id="rId65"/>
    <sheet name="Tabelle60" sheetId="64" state="hidden" r:id="rId66"/>
    <sheet name="Tabelle61" sheetId="65" state="hidden" r:id="rId67"/>
    <sheet name="Tabelle62" sheetId="66" state="hidden" r:id="rId68"/>
    <sheet name="Tabelle63" sheetId="67" state="hidden" r:id="rId69"/>
    <sheet name="Tabelle64" sheetId="68" state="hidden" r:id="rId70"/>
    <sheet name="Tabelle65" sheetId="69" state="hidden" r:id="rId71"/>
    <sheet name="Tabelle66" sheetId="70" state="hidden" r:id="rId72"/>
    <sheet name="Tabelle67" sheetId="71" state="hidden" r:id="rId73"/>
    <sheet name="Tabelle68" sheetId="72" state="hidden" r:id="rId74"/>
    <sheet name="Tabelle69" sheetId="73" state="hidden" r:id="rId75"/>
    <sheet name="Tabelle70" sheetId="74" state="hidden" r:id="rId76"/>
    <sheet name="Tabelle71" sheetId="75" state="hidden" r:id="rId77"/>
    <sheet name="Tabelle72" sheetId="76" state="hidden" r:id="rId78"/>
    <sheet name="Tabelle73" sheetId="77" state="hidden" r:id="rId79"/>
    <sheet name="Tabelle74" sheetId="78" state="hidden" r:id="rId80"/>
    <sheet name="Tabelle75" sheetId="79" state="hidden" r:id="rId81"/>
    <sheet name="Tabelle76" sheetId="80" state="hidden" r:id="rId82"/>
    <sheet name="Tabelle77" sheetId="81" state="hidden" r:id="rId83"/>
    <sheet name="Tabelle78" sheetId="82" state="hidden" r:id="rId84"/>
    <sheet name="Tabelle79" sheetId="83" state="hidden" r:id="rId85"/>
    <sheet name="Tabelle80" sheetId="84" state="hidden" r:id="rId86"/>
    <sheet name="Tabelle81" sheetId="85" state="hidden" r:id="rId87"/>
    <sheet name="Tabelle82" sheetId="86" state="hidden" r:id="rId88"/>
    <sheet name="Tabelle83" sheetId="87" state="hidden" r:id="rId89"/>
    <sheet name="Tabelle84" sheetId="88" state="hidden" r:id="rId90"/>
    <sheet name="Tabelle85" sheetId="89" state="hidden" r:id="rId91"/>
    <sheet name="Tabelle86" sheetId="90" state="hidden" r:id="rId92"/>
    <sheet name="Tabelle87" sheetId="91" state="hidden" r:id="rId93"/>
    <sheet name="Tabelle88" sheetId="92" state="hidden" r:id="rId94"/>
    <sheet name="Tabelle89" sheetId="93" state="hidden" r:id="rId95"/>
    <sheet name="Tabelle90" sheetId="94" state="hidden" r:id="rId96"/>
    <sheet name="Tabelle91" sheetId="95" state="hidden" r:id="rId97"/>
    <sheet name="Tabelle92" sheetId="96" state="hidden" r:id="rId98"/>
    <sheet name="Tabelle93" sheetId="97" state="hidden" r:id="rId99"/>
    <sheet name="Tabelle94" sheetId="98" state="hidden" r:id="rId100"/>
    <sheet name="Tabelle95" sheetId="99" state="hidden" r:id="rId101"/>
    <sheet name="Tabelle96" sheetId="100" state="hidden" r:id="rId102"/>
    <sheet name="Tabelle97" sheetId="101" state="hidden" r:id="rId103"/>
    <sheet name="Tabelle98" sheetId="102" state="hidden" r:id="rId104"/>
    <sheet name="Tabelle99" sheetId="103" state="hidden" r:id="rId105"/>
    <sheet name="Tabelle100" sheetId="104" state="hidden" r:id="rId106"/>
    <sheet name="Traducción" sheetId="105" r:id="rId107"/>
  </sheets>
  <definedNames>
    <definedName name="_xlnm.Print_Area" localSheetId="3">'Entrada Prod (diario)'!$A$1:$K$849</definedName>
    <definedName name="_xlnm.Print_Area" localSheetId="4">'Entrada Prod (semanal)'!$A$1:$P$108</definedName>
    <definedName name="_xlnm.Print_Area" localSheetId="1">'Entrada Recría (diario)'!$A$1:$I$33</definedName>
    <definedName name="_xlnm.Print_Area" localSheetId="2">'Entrada Recría (semanal)'!$A$1:$L$22</definedName>
    <definedName name="_xlnm.Print_Area" localSheetId="7">'Salida pc,cp,ca,ic'!$A$9:$L$116</definedName>
    <definedName name="_xlnm.Print_Area" localSheetId="6">'Salida Prod'!$A$9:$U$116</definedName>
    <definedName name="_xlnm.Print_Area" localSheetId="5">'Salida Recría'!$A$3:$O$28</definedName>
    <definedName name="_xlnm.Print_Titles" localSheetId="3">'Entrada Prod (diario)'!$1:$1</definedName>
    <definedName name="_xlnm.Print_Titles" localSheetId="4">'Entrada Prod (semanal)'!$1:$2</definedName>
    <definedName name="_xlnm.Print_Titles" localSheetId="7">'Salida pc,cp,ca,ic'!$9:$10</definedName>
    <definedName name="_xlnm.Print_Titles" localSheetId="6">'Salida Prod'!$9:$10</definedName>
  </definedNames>
  <calcPr calcId="145621"/>
</workbook>
</file>

<file path=xl/calcChain.xml><?xml version="1.0" encoding="utf-8"?>
<calcChain xmlns="http://schemas.openxmlformats.org/spreadsheetml/2006/main">
  <c r="C3" i="107" l="1"/>
  <c r="C4" i="107"/>
  <c r="C5" i="107"/>
  <c r="C6" i="107"/>
  <c r="C7" i="107"/>
  <c r="C8" i="107"/>
  <c r="C9" i="107"/>
  <c r="C10" i="107"/>
  <c r="C11" i="107"/>
  <c r="C12" i="107"/>
  <c r="C13" i="107"/>
  <c r="C14" i="107"/>
  <c r="C15" i="107"/>
  <c r="C16" i="107"/>
  <c r="C17" i="107"/>
  <c r="C18" i="107"/>
  <c r="C19" i="107"/>
  <c r="C20" i="107"/>
  <c r="C21" i="107"/>
  <c r="C22" i="107"/>
  <c r="L5" i="4"/>
  <c r="C9" i="4" a="1"/>
  <c r="C9" i="4" s="1"/>
  <c r="C10" i="4" a="1"/>
  <c r="C10" i="4" s="1"/>
  <c r="C11" i="4" a="1"/>
  <c r="C11" i="4" s="1"/>
  <c r="C12" i="4" a="1"/>
  <c r="C12" i="4" s="1"/>
  <c r="C13" i="4" a="1"/>
  <c r="C13" i="4" s="1"/>
  <c r="C14" i="4" a="1"/>
  <c r="C14" i="4" s="1"/>
  <c r="C15" i="4" a="1"/>
  <c r="C15" i="4" s="1"/>
  <c r="C16" i="4" a="1"/>
  <c r="C16" i="4" s="1"/>
  <c r="C17" i="4" a="1"/>
  <c r="C17" i="4" s="1"/>
  <c r="C18" i="4" a="1"/>
  <c r="C18" i="4" s="1"/>
  <c r="C19" i="4" a="1"/>
  <c r="C19" i="4" s="1"/>
  <c r="C20" i="4" a="1"/>
  <c r="C20" i="4" s="1"/>
  <c r="C21" i="4" a="1"/>
  <c r="C21" i="4" s="1"/>
  <c r="C22" i="4" a="1"/>
  <c r="C22" i="4" s="1"/>
  <c r="C23" i="4" a="1"/>
  <c r="C23" i="4" s="1"/>
  <c r="C24" i="4" a="1"/>
  <c r="C24" i="4" s="1"/>
  <c r="C25" i="4" a="1"/>
  <c r="C25" i="4" s="1"/>
  <c r="C26" i="4" a="1"/>
  <c r="C26" i="4" s="1"/>
  <c r="C27" i="4" a="1"/>
  <c r="C27" i="4" s="1"/>
  <c r="C28" i="4" a="1"/>
  <c r="C28" i="4" s="1"/>
  <c r="P10" i="4"/>
  <c r="Q10" i="4"/>
  <c r="P11" i="4"/>
  <c r="Q11" i="4"/>
  <c r="P12" i="4"/>
  <c r="Q12" i="4"/>
  <c r="P13" i="4"/>
  <c r="Q13" i="4"/>
  <c r="P14" i="4"/>
  <c r="Q14" i="4"/>
  <c r="P15" i="4"/>
  <c r="Q15" i="4"/>
  <c r="P16" i="4"/>
  <c r="Q16" i="4"/>
  <c r="P17" i="4"/>
  <c r="Q17" i="4"/>
  <c r="P18" i="4"/>
  <c r="Q18" i="4"/>
  <c r="P19" i="4"/>
  <c r="Q19" i="4"/>
  <c r="P20" i="4"/>
  <c r="Q20" i="4"/>
  <c r="P21" i="4"/>
  <c r="Q21" i="4"/>
  <c r="P22" i="4"/>
  <c r="Q22" i="4"/>
  <c r="P23" i="4"/>
  <c r="Q23" i="4"/>
  <c r="P24" i="4"/>
  <c r="Q24" i="4"/>
  <c r="P25" i="4"/>
  <c r="Q25" i="4"/>
  <c r="P26" i="4"/>
  <c r="Q26" i="4"/>
  <c r="P27" i="4"/>
  <c r="Q27" i="4"/>
  <c r="P28" i="4"/>
  <c r="Q28" i="4"/>
  <c r="Q9" i="4"/>
  <c r="P9" i="4"/>
  <c r="B849" i="3"/>
  <c r="B841" i="3"/>
  <c r="B833" i="3"/>
  <c r="B825" i="3"/>
  <c r="B817" i="3"/>
  <c r="B809" i="3"/>
  <c r="B801" i="3"/>
  <c r="B793" i="3"/>
  <c r="B785" i="3"/>
  <c r="B777" i="3"/>
  <c r="B769" i="3"/>
  <c r="B761" i="3"/>
  <c r="B753" i="3"/>
  <c r="B745" i="3"/>
  <c r="B737" i="3"/>
  <c r="B729" i="3"/>
  <c r="B721" i="3"/>
  <c r="B713" i="3"/>
  <c r="B705" i="3"/>
  <c r="B697" i="3"/>
  <c r="B689" i="3"/>
  <c r="B681" i="3"/>
  <c r="B673" i="3"/>
  <c r="B665" i="3"/>
  <c r="B657" i="3"/>
  <c r="B649" i="3"/>
  <c r="B641" i="3"/>
  <c r="B633" i="3"/>
  <c r="B625" i="3"/>
  <c r="B617" i="3"/>
  <c r="B609" i="3"/>
  <c r="B601" i="3"/>
  <c r="B593" i="3"/>
  <c r="B585" i="3"/>
  <c r="B577" i="3"/>
  <c r="B569" i="3"/>
  <c r="B561" i="3"/>
  <c r="B553" i="3"/>
  <c r="B545" i="3"/>
  <c r="B537" i="3"/>
  <c r="B529" i="3"/>
  <c r="B521" i="3"/>
  <c r="B513" i="3"/>
  <c r="B505" i="3"/>
  <c r="B497" i="3"/>
  <c r="B489" i="3"/>
  <c r="B481" i="3"/>
  <c r="B473" i="3"/>
  <c r="B465" i="3"/>
  <c r="B457" i="3"/>
  <c r="B449" i="3"/>
  <c r="B441" i="3"/>
  <c r="B433" i="3"/>
  <c r="B425" i="3"/>
  <c r="B417" i="3"/>
  <c r="B409" i="3"/>
  <c r="B401" i="3"/>
  <c r="B393" i="3"/>
  <c r="B385" i="3"/>
  <c r="B377" i="3"/>
  <c r="B369" i="3"/>
  <c r="B361" i="3"/>
  <c r="B353" i="3"/>
  <c r="B345" i="3"/>
  <c r="B337" i="3"/>
  <c r="B329" i="3"/>
  <c r="B321" i="3"/>
  <c r="B313" i="3"/>
  <c r="B305" i="3"/>
  <c r="B297" i="3"/>
  <c r="B289" i="3"/>
  <c r="B281" i="3"/>
  <c r="B273" i="3"/>
  <c r="B265" i="3"/>
  <c r="B257" i="3"/>
  <c r="B249" i="3"/>
  <c r="B241" i="3"/>
  <c r="B233" i="3"/>
  <c r="B225" i="3"/>
  <c r="B217" i="3"/>
  <c r="B209" i="3"/>
  <c r="B201" i="3"/>
  <c r="B193" i="3"/>
  <c r="B185" i="3"/>
  <c r="B177" i="3"/>
  <c r="B169" i="3"/>
  <c r="B161" i="3"/>
  <c r="B153" i="3"/>
  <c r="B145" i="3"/>
  <c r="B137" i="3"/>
  <c r="B129" i="3"/>
  <c r="B121" i="3"/>
  <c r="B113" i="3"/>
  <c r="B105" i="3"/>
  <c r="B97" i="3"/>
  <c r="B89" i="3"/>
  <c r="B81" i="3"/>
  <c r="B73" i="3"/>
  <c r="B65" i="3"/>
  <c r="B57" i="3"/>
  <c r="B49" i="3"/>
  <c r="B41" i="3"/>
  <c r="B33" i="3"/>
  <c r="B25" i="3"/>
  <c r="B17" i="3"/>
  <c r="B9" i="3"/>
  <c r="G1" i="108"/>
  <c r="E1" i="3"/>
  <c r="D1" i="3"/>
  <c r="D28" i="106"/>
  <c r="D27" i="106"/>
  <c r="A110" i="108"/>
  <c r="M9" i="108"/>
  <c r="F17" i="6" s="1"/>
  <c r="C25" i="3"/>
  <c r="C5" i="108"/>
  <c r="D25" i="3"/>
  <c r="E5" i="108"/>
  <c r="E25" i="3"/>
  <c r="F5" i="108"/>
  <c r="F25" i="3"/>
  <c r="I5" i="108"/>
  <c r="G25" i="3"/>
  <c r="J5" i="108"/>
  <c r="H25" i="3"/>
  <c r="K5" i="108"/>
  <c r="I25" i="3"/>
  <c r="M5" i="108"/>
  <c r="J25" i="3"/>
  <c r="O5" i="108"/>
  <c r="L13" i="6"/>
  <c r="C33" i="3"/>
  <c r="C6" i="108"/>
  <c r="D33" i="3"/>
  <c r="E6" i="108"/>
  <c r="E33" i="3"/>
  <c r="F6" i="108"/>
  <c r="F33" i="3"/>
  <c r="I6" i="108"/>
  <c r="G33" i="3"/>
  <c r="J6" i="108"/>
  <c r="J14" i="6" s="1"/>
  <c r="H33" i="3"/>
  <c r="K6" i="108"/>
  <c r="I33" i="3"/>
  <c r="M6" i="108"/>
  <c r="F14" i="6" s="1"/>
  <c r="J33" i="3"/>
  <c r="O6" i="108"/>
  <c r="L14" i="6"/>
  <c r="C41" i="3"/>
  <c r="C7" i="108"/>
  <c r="D41" i="3"/>
  <c r="E7" i="108"/>
  <c r="E41" i="3"/>
  <c r="F7" i="108"/>
  <c r="F41" i="3"/>
  <c r="I7" i="108"/>
  <c r="G41" i="3"/>
  <c r="J7" i="108"/>
  <c r="J15" i="6" s="1"/>
  <c r="H41" i="3"/>
  <c r="K7" i="108"/>
  <c r="D15" i="6" s="1"/>
  <c r="G15" i="6" s="1"/>
  <c r="I41" i="3"/>
  <c r="M7" i="108"/>
  <c r="F15" i="6" s="1"/>
  <c r="J41" i="3"/>
  <c r="O7" i="108"/>
  <c r="L15" i="6" s="1"/>
  <c r="C49" i="3"/>
  <c r="C8" i="108"/>
  <c r="D49" i="3"/>
  <c r="E8" i="108"/>
  <c r="E49" i="3"/>
  <c r="F8" i="108"/>
  <c r="F49" i="3"/>
  <c r="I8" i="108"/>
  <c r="G49" i="3"/>
  <c r="J8" i="108"/>
  <c r="J16" i="6" s="1"/>
  <c r="H49" i="3"/>
  <c r="K8" i="108"/>
  <c r="I49" i="3"/>
  <c r="M8" i="108"/>
  <c r="F16" i="6" s="1"/>
  <c r="J49" i="3"/>
  <c r="O8" i="108"/>
  <c r="L16" i="6" s="1"/>
  <c r="C57" i="3"/>
  <c r="C9" i="108"/>
  <c r="D57" i="3"/>
  <c r="E9" i="108"/>
  <c r="E57" i="3"/>
  <c r="F9" i="108"/>
  <c r="F57" i="3"/>
  <c r="I9" i="108"/>
  <c r="G57" i="3"/>
  <c r="J9" i="108"/>
  <c r="H57" i="3"/>
  <c r="K9" i="108"/>
  <c r="C17" i="6" s="1"/>
  <c r="E17" i="6" s="1"/>
  <c r="I57" i="3"/>
  <c r="J57" i="3"/>
  <c r="O9" i="108"/>
  <c r="L17" i="6" s="1"/>
  <c r="C65" i="3"/>
  <c r="C10" i="108"/>
  <c r="D65" i="3"/>
  <c r="E10" i="108"/>
  <c r="E65" i="3"/>
  <c r="F10" i="108"/>
  <c r="F65" i="3"/>
  <c r="I10" i="108"/>
  <c r="G65" i="3"/>
  <c r="J10" i="108"/>
  <c r="H65" i="3"/>
  <c r="K10" i="108"/>
  <c r="D18" i="6" s="1"/>
  <c r="I65" i="3"/>
  <c r="M10" i="108"/>
  <c r="F18" i="6"/>
  <c r="J65" i="3"/>
  <c r="O10" i="108"/>
  <c r="L18" i="6" s="1"/>
  <c r="C73" i="3"/>
  <c r="C11" i="108"/>
  <c r="D73" i="3"/>
  <c r="E11" i="108"/>
  <c r="E73" i="3"/>
  <c r="F11" i="108"/>
  <c r="F73" i="3"/>
  <c r="I11" i="108"/>
  <c r="G73" i="3"/>
  <c r="J11" i="108"/>
  <c r="J19" i="6" s="1"/>
  <c r="H73" i="3"/>
  <c r="K11" i="108"/>
  <c r="I73" i="3"/>
  <c r="M11" i="108"/>
  <c r="F19" i="6" s="1"/>
  <c r="J73" i="3"/>
  <c r="O11" i="108"/>
  <c r="L19" i="6"/>
  <c r="C81" i="3"/>
  <c r="C12" i="108"/>
  <c r="D81" i="3"/>
  <c r="E12" i="108"/>
  <c r="E81" i="3"/>
  <c r="F12" i="108"/>
  <c r="F81" i="3"/>
  <c r="I12" i="108"/>
  <c r="G81" i="3"/>
  <c r="J12" i="108"/>
  <c r="H81" i="3"/>
  <c r="K12" i="108"/>
  <c r="D20" i="6" s="1"/>
  <c r="I81" i="3"/>
  <c r="M12" i="108"/>
  <c r="F20" i="6"/>
  <c r="J81" i="3"/>
  <c r="O12" i="108"/>
  <c r="L20" i="6" s="1"/>
  <c r="C89" i="3"/>
  <c r="C13" i="108"/>
  <c r="D89" i="3"/>
  <c r="E13" i="108"/>
  <c r="E89" i="3"/>
  <c r="F13" i="108"/>
  <c r="F89" i="3"/>
  <c r="I13" i="108"/>
  <c r="G89" i="3"/>
  <c r="J13" i="108"/>
  <c r="H89" i="3"/>
  <c r="K13" i="108"/>
  <c r="I89" i="3"/>
  <c r="M13" i="108"/>
  <c r="F21" i="6"/>
  <c r="J89" i="3"/>
  <c r="O13" i="108"/>
  <c r="L21" i="6"/>
  <c r="C97" i="3"/>
  <c r="C14" i="108"/>
  <c r="D97" i="3"/>
  <c r="E14" i="108"/>
  <c r="E97" i="3"/>
  <c r="F14" i="108"/>
  <c r="F97" i="3"/>
  <c r="I14" i="108"/>
  <c r="G97" i="3"/>
  <c r="J14" i="108"/>
  <c r="H97" i="3"/>
  <c r="K14" i="108"/>
  <c r="D22" i="6" s="1"/>
  <c r="I97" i="3"/>
  <c r="M14" i="108"/>
  <c r="F22" i="6"/>
  <c r="J97" i="3"/>
  <c r="O14" i="108"/>
  <c r="L22" i="6" s="1"/>
  <c r="C105" i="3"/>
  <c r="C15" i="108"/>
  <c r="D105" i="3"/>
  <c r="E15" i="108"/>
  <c r="E105" i="3"/>
  <c r="F15" i="108"/>
  <c r="F105" i="3"/>
  <c r="I15" i="108"/>
  <c r="G105" i="3"/>
  <c r="J15" i="108"/>
  <c r="H105" i="3"/>
  <c r="K15" i="108"/>
  <c r="I105" i="3"/>
  <c r="M15" i="108"/>
  <c r="F23" i="6"/>
  <c r="J105" i="3"/>
  <c r="O15" i="108"/>
  <c r="L23" i="6" s="1"/>
  <c r="C113" i="3"/>
  <c r="C16" i="108"/>
  <c r="D113" i="3"/>
  <c r="E16" i="108"/>
  <c r="E113" i="3"/>
  <c r="F16" i="108"/>
  <c r="F113" i="3"/>
  <c r="I16" i="108"/>
  <c r="G113" i="3"/>
  <c r="J16" i="108"/>
  <c r="H113" i="3"/>
  <c r="K16" i="108"/>
  <c r="I113" i="3"/>
  <c r="M16" i="108"/>
  <c r="F24" i="6"/>
  <c r="J113" i="3"/>
  <c r="O16" i="108"/>
  <c r="L24" i="6" s="1"/>
  <c r="C121" i="3"/>
  <c r="C17" i="108"/>
  <c r="D121" i="3"/>
  <c r="E17" i="108"/>
  <c r="E121" i="3"/>
  <c r="F17" i="108"/>
  <c r="F121" i="3"/>
  <c r="I17" i="108"/>
  <c r="G121" i="3"/>
  <c r="J17" i="108"/>
  <c r="J25" i="6" s="1"/>
  <c r="H121" i="3"/>
  <c r="K17" i="108"/>
  <c r="I121" i="3"/>
  <c r="M17" i="108"/>
  <c r="F25" i="6" s="1"/>
  <c r="J121" i="3"/>
  <c r="O17" i="108"/>
  <c r="L25" i="6"/>
  <c r="C129" i="3"/>
  <c r="C18" i="108"/>
  <c r="D129" i="3"/>
  <c r="E18" i="108"/>
  <c r="E129" i="3"/>
  <c r="F18" i="108"/>
  <c r="F129" i="3"/>
  <c r="I18" i="108"/>
  <c r="G129" i="3"/>
  <c r="J18" i="108"/>
  <c r="H129" i="3"/>
  <c r="K18" i="108"/>
  <c r="D26" i="6" s="1"/>
  <c r="I129" i="3"/>
  <c r="M18" i="108"/>
  <c r="F26" i="6"/>
  <c r="J129" i="3"/>
  <c r="O18" i="108"/>
  <c r="L26" i="6" s="1"/>
  <c r="C137" i="3"/>
  <c r="C19" i="108"/>
  <c r="D137" i="3"/>
  <c r="E19" i="108"/>
  <c r="E137" i="3"/>
  <c r="F19" i="108"/>
  <c r="F137" i="3"/>
  <c r="I19" i="108"/>
  <c r="G137" i="3"/>
  <c r="J19" i="108"/>
  <c r="H137" i="3"/>
  <c r="K19" i="108"/>
  <c r="I137" i="3"/>
  <c r="M19" i="108"/>
  <c r="F27" i="6"/>
  <c r="J137" i="3"/>
  <c r="O19" i="108"/>
  <c r="L27" i="6" s="1"/>
  <c r="C145" i="3"/>
  <c r="C20" i="108"/>
  <c r="D145" i="3"/>
  <c r="E20" i="108"/>
  <c r="E145" i="3"/>
  <c r="F20" i="108"/>
  <c r="F145" i="3"/>
  <c r="I20" i="108"/>
  <c r="G145" i="3"/>
  <c r="J20" i="108"/>
  <c r="H145" i="3"/>
  <c r="K20" i="108"/>
  <c r="I145" i="3"/>
  <c r="M20" i="108"/>
  <c r="F28" i="6"/>
  <c r="J145" i="3"/>
  <c r="O20" i="108"/>
  <c r="L28" i="6" s="1"/>
  <c r="C153" i="3"/>
  <c r="C21" i="108"/>
  <c r="D153" i="3"/>
  <c r="E21" i="108"/>
  <c r="E153" i="3"/>
  <c r="F21" i="108"/>
  <c r="F153" i="3"/>
  <c r="I21" i="108"/>
  <c r="G153" i="3"/>
  <c r="J21" i="108"/>
  <c r="J29" i="6" s="1"/>
  <c r="H153" i="3"/>
  <c r="K21" i="108"/>
  <c r="I153" i="3"/>
  <c r="M21" i="108"/>
  <c r="F29" i="6" s="1"/>
  <c r="J153" i="3"/>
  <c r="O21" i="108"/>
  <c r="L29" i="6"/>
  <c r="C161" i="3"/>
  <c r="C22" i="108"/>
  <c r="D161" i="3"/>
  <c r="E22" i="108"/>
  <c r="E161" i="3"/>
  <c r="F22" i="108"/>
  <c r="F161" i="3"/>
  <c r="I22" i="108"/>
  <c r="G161" i="3"/>
  <c r="J22" i="108"/>
  <c r="H161" i="3"/>
  <c r="K22" i="108"/>
  <c r="D30" i="6" s="1"/>
  <c r="I161" i="3"/>
  <c r="M22" i="108"/>
  <c r="F30" i="6"/>
  <c r="J161" i="3"/>
  <c r="O22" i="108"/>
  <c r="L30" i="6" s="1"/>
  <c r="C169" i="3"/>
  <c r="C23" i="108"/>
  <c r="D169" i="3"/>
  <c r="E23" i="108"/>
  <c r="E169" i="3"/>
  <c r="F23" i="108"/>
  <c r="F169" i="3"/>
  <c r="I23" i="108"/>
  <c r="G169" i="3"/>
  <c r="J23" i="108"/>
  <c r="H169" i="3"/>
  <c r="K23" i="108"/>
  <c r="I169" i="3"/>
  <c r="M23" i="108"/>
  <c r="J169" i="3"/>
  <c r="O23" i="108"/>
  <c r="L31" i="6"/>
  <c r="C177" i="3"/>
  <c r="C24" i="108"/>
  <c r="D177" i="3"/>
  <c r="E24" i="108"/>
  <c r="E177" i="3"/>
  <c r="F24" i="108"/>
  <c r="F177" i="3"/>
  <c r="I24" i="108"/>
  <c r="G177" i="3"/>
  <c r="J24" i="108"/>
  <c r="J32" i="6" s="1"/>
  <c r="H177" i="3"/>
  <c r="K24" i="108"/>
  <c r="D32" i="6" s="1"/>
  <c r="I177" i="3"/>
  <c r="M24" i="108"/>
  <c r="F32" i="6" s="1"/>
  <c r="J177" i="3"/>
  <c r="O24" i="108"/>
  <c r="L32" i="6" s="1"/>
  <c r="C185" i="3"/>
  <c r="C25" i="108"/>
  <c r="D185" i="3"/>
  <c r="E25" i="108"/>
  <c r="E185" i="3"/>
  <c r="F25" i="108"/>
  <c r="F185" i="3"/>
  <c r="I25" i="108"/>
  <c r="G185" i="3"/>
  <c r="J25" i="108"/>
  <c r="J33" i="6" s="1"/>
  <c r="H185" i="3"/>
  <c r="K25" i="108"/>
  <c r="I185" i="3"/>
  <c r="M25" i="108"/>
  <c r="F33" i="6" s="1"/>
  <c r="J185" i="3"/>
  <c r="O25" i="108"/>
  <c r="L33" i="6"/>
  <c r="C193" i="3"/>
  <c r="C26" i="108"/>
  <c r="D193" i="3"/>
  <c r="E26" i="108"/>
  <c r="E193" i="3"/>
  <c r="F26" i="108"/>
  <c r="F193" i="3"/>
  <c r="I26" i="108"/>
  <c r="G193" i="3"/>
  <c r="J26" i="108"/>
  <c r="H193" i="3"/>
  <c r="K26" i="108"/>
  <c r="D34" i="6" s="1"/>
  <c r="G34" i="6" s="1"/>
  <c r="I193" i="3"/>
  <c r="M26" i="108"/>
  <c r="F34" i="6" s="1"/>
  <c r="J193" i="3"/>
  <c r="O26" i="108"/>
  <c r="L34" i="6" s="1"/>
  <c r="C201" i="3"/>
  <c r="C27" i="108"/>
  <c r="D201" i="3"/>
  <c r="E27" i="108"/>
  <c r="E201" i="3"/>
  <c r="F27" i="108"/>
  <c r="F201" i="3"/>
  <c r="I27" i="108"/>
  <c r="G201" i="3"/>
  <c r="J27" i="108"/>
  <c r="J35" i="6" s="1"/>
  <c r="H201" i="3"/>
  <c r="K27" i="108"/>
  <c r="I201" i="3"/>
  <c r="M27" i="108"/>
  <c r="F35" i="6" s="1"/>
  <c r="J201" i="3"/>
  <c r="O27" i="108"/>
  <c r="L35" i="6"/>
  <c r="C209" i="3"/>
  <c r="C28" i="108"/>
  <c r="D209" i="3"/>
  <c r="E28" i="108"/>
  <c r="E209" i="3"/>
  <c r="F28" i="108"/>
  <c r="F209" i="3"/>
  <c r="I28" i="108"/>
  <c r="G209" i="3"/>
  <c r="J28" i="108"/>
  <c r="J36" i="6" s="1"/>
  <c r="H209" i="3"/>
  <c r="K28" i="108"/>
  <c r="I209" i="3"/>
  <c r="M28" i="108"/>
  <c r="F36" i="6" s="1"/>
  <c r="J209" i="3"/>
  <c r="O28" i="108"/>
  <c r="L36" i="6" s="1"/>
  <c r="C217" i="3"/>
  <c r="C29" i="108"/>
  <c r="D217" i="3"/>
  <c r="E29" i="108"/>
  <c r="E217" i="3"/>
  <c r="F29" i="108"/>
  <c r="F217" i="3"/>
  <c r="I29" i="108"/>
  <c r="G217" i="3"/>
  <c r="J29" i="108"/>
  <c r="H217" i="3"/>
  <c r="K29" i="108"/>
  <c r="D37" i="6" s="1"/>
  <c r="I217" i="3"/>
  <c r="M29" i="108"/>
  <c r="F37" i="6"/>
  <c r="J217" i="3"/>
  <c r="O29" i="108"/>
  <c r="L37" i="6"/>
  <c r="C225" i="3"/>
  <c r="C30" i="108"/>
  <c r="D225" i="3"/>
  <c r="E30" i="108"/>
  <c r="E225" i="3"/>
  <c r="F30" i="108"/>
  <c r="F225" i="3"/>
  <c r="I30" i="108"/>
  <c r="G225" i="3"/>
  <c r="J30" i="108"/>
  <c r="J38" i="6" s="1"/>
  <c r="H225" i="3"/>
  <c r="K30" i="108"/>
  <c r="I225" i="3"/>
  <c r="M30" i="108"/>
  <c r="F38" i="6" s="1"/>
  <c r="J225" i="3"/>
  <c r="O30" i="108"/>
  <c r="L38" i="6"/>
  <c r="C233" i="3"/>
  <c r="C31" i="108"/>
  <c r="D233" i="3"/>
  <c r="E31" i="108"/>
  <c r="E233" i="3"/>
  <c r="F31" i="108"/>
  <c r="F233" i="3"/>
  <c r="I31" i="108"/>
  <c r="G233" i="3"/>
  <c r="J31" i="108"/>
  <c r="H233" i="3"/>
  <c r="K31" i="108"/>
  <c r="I233" i="3"/>
  <c r="M31" i="108"/>
  <c r="F39" i="6" s="1"/>
  <c r="J233" i="3"/>
  <c r="O31" i="108"/>
  <c r="L39" i="6"/>
  <c r="C241" i="3"/>
  <c r="C32" i="108"/>
  <c r="D241" i="3"/>
  <c r="E32" i="108"/>
  <c r="E241" i="3"/>
  <c r="F32" i="108"/>
  <c r="F241" i="3"/>
  <c r="I32" i="108"/>
  <c r="G241" i="3"/>
  <c r="J32" i="108"/>
  <c r="J40" i="6" s="1"/>
  <c r="H241" i="3"/>
  <c r="K32" i="108"/>
  <c r="D40" i="6" s="1"/>
  <c r="I241" i="3"/>
  <c r="M32" i="108"/>
  <c r="F40" i="6" s="1"/>
  <c r="J241" i="3"/>
  <c r="O32" i="108"/>
  <c r="L40" i="6" s="1"/>
  <c r="C249" i="3"/>
  <c r="C33" i="108"/>
  <c r="D249" i="3"/>
  <c r="E33" i="108"/>
  <c r="E249" i="3"/>
  <c r="F33" i="108"/>
  <c r="F249" i="3"/>
  <c r="I33" i="108"/>
  <c r="G249" i="3"/>
  <c r="J33" i="108"/>
  <c r="H249" i="3"/>
  <c r="K33" i="108"/>
  <c r="I249" i="3"/>
  <c r="M33" i="108"/>
  <c r="F41" i="6"/>
  <c r="J249" i="3"/>
  <c r="O33" i="108"/>
  <c r="L41" i="6"/>
  <c r="C257" i="3"/>
  <c r="C34" i="108"/>
  <c r="D257" i="3"/>
  <c r="E34" i="108"/>
  <c r="E257" i="3"/>
  <c r="F34" i="108"/>
  <c r="F257" i="3"/>
  <c r="I34" i="108"/>
  <c r="G257" i="3"/>
  <c r="J34" i="108"/>
  <c r="H257" i="3"/>
  <c r="K34" i="108"/>
  <c r="D42" i="6" s="1"/>
  <c r="I257" i="3"/>
  <c r="M34" i="108"/>
  <c r="F42" i="6" s="1"/>
  <c r="J257" i="3"/>
  <c r="O34" i="108"/>
  <c r="L42" i="6"/>
  <c r="C265" i="3"/>
  <c r="C35" i="108"/>
  <c r="D265" i="3"/>
  <c r="E35" i="108"/>
  <c r="E265" i="3"/>
  <c r="F35" i="108"/>
  <c r="F265" i="3"/>
  <c r="I35" i="108"/>
  <c r="G265" i="3"/>
  <c r="J35" i="108"/>
  <c r="H265" i="3"/>
  <c r="K35" i="108"/>
  <c r="I265" i="3"/>
  <c r="M35" i="108"/>
  <c r="F43" i="6"/>
  <c r="J265" i="3"/>
  <c r="O35" i="108"/>
  <c r="L43" i="6"/>
  <c r="C273" i="3"/>
  <c r="C36" i="108"/>
  <c r="D273" i="3"/>
  <c r="E36" i="108"/>
  <c r="E273" i="3"/>
  <c r="F36" i="108"/>
  <c r="F273" i="3"/>
  <c r="I36" i="108"/>
  <c r="G273" i="3"/>
  <c r="J36" i="108"/>
  <c r="J44" i="6" s="1"/>
  <c r="H273" i="3"/>
  <c r="K36" i="108"/>
  <c r="I273" i="3"/>
  <c r="M36" i="108"/>
  <c r="F44" i="6" s="1"/>
  <c r="J273" i="3"/>
  <c r="O36" i="108"/>
  <c r="L44" i="6"/>
  <c r="C281" i="3"/>
  <c r="C37" i="108"/>
  <c r="D281" i="3"/>
  <c r="E37" i="108"/>
  <c r="E281" i="3"/>
  <c r="F37" i="108"/>
  <c r="F281" i="3"/>
  <c r="I37" i="108"/>
  <c r="G281" i="3"/>
  <c r="J37" i="108"/>
  <c r="H281" i="3"/>
  <c r="K37" i="108"/>
  <c r="I281" i="3"/>
  <c r="M37" i="108"/>
  <c r="F45" i="6"/>
  <c r="J281" i="3"/>
  <c r="O37" i="108"/>
  <c r="L45" i="6"/>
  <c r="C289" i="3"/>
  <c r="C38" i="108"/>
  <c r="D289" i="3"/>
  <c r="E38" i="108"/>
  <c r="E289" i="3"/>
  <c r="F38" i="108"/>
  <c r="F289" i="3"/>
  <c r="I38" i="108"/>
  <c r="G289" i="3"/>
  <c r="J38" i="108"/>
  <c r="H289" i="3"/>
  <c r="K38" i="108"/>
  <c r="I289" i="3"/>
  <c r="M38" i="108"/>
  <c r="F46" i="6" s="1"/>
  <c r="J289" i="3"/>
  <c r="O38" i="108"/>
  <c r="L46" i="6"/>
  <c r="C297" i="3"/>
  <c r="C39" i="108"/>
  <c r="D297" i="3"/>
  <c r="E39" i="108"/>
  <c r="E297" i="3"/>
  <c r="F39" i="108"/>
  <c r="F297" i="3"/>
  <c r="I39" i="108"/>
  <c r="G297" i="3"/>
  <c r="J39" i="108"/>
  <c r="J47" i="6" s="1"/>
  <c r="H297" i="3"/>
  <c r="K39" i="108"/>
  <c r="I297" i="3"/>
  <c r="M39" i="108"/>
  <c r="F47" i="6" s="1"/>
  <c r="J297" i="3"/>
  <c r="O39" i="108"/>
  <c r="L47" i="6" s="1"/>
  <c r="C305" i="3"/>
  <c r="C40" i="108"/>
  <c r="D305" i="3"/>
  <c r="E40" i="108"/>
  <c r="E305" i="3"/>
  <c r="F40" i="108"/>
  <c r="F305" i="3"/>
  <c r="I40" i="108"/>
  <c r="G305" i="3"/>
  <c r="J40" i="108"/>
  <c r="J48" i="6" s="1"/>
  <c r="H305" i="3"/>
  <c r="K40" i="108"/>
  <c r="I305" i="3"/>
  <c r="M40" i="108"/>
  <c r="F48" i="6" s="1"/>
  <c r="J305" i="3"/>
  <c r="O40" i="108"/>
  <c r="L48" i="6"/>
  <c r="C313" i="3"/>
  <c r="C41" i="108"/>
  <c r="D313" i="3"/>
  <c r="E41" i="108"/>
  <c r="E313" i="3"/>
  <c r="F41" i="108"/>
  <c r="F313" i="3"/>
  <c r="I41" i="108"/>
  <c r="G313" i="3"/>
  <c r="J41" i="108"/>
  <c r="H313" i="3"/>
  <c r="K41" i="108"/>
  <c r="I313" i="3"/>
  <c r="M41" i="108"/>
  <c r="F49" i="6"/>
  <c r="J313" i="3"/>
  <c r="O41" i="108"/>
  <c r="L49" i="6" s="1"/>
  <c r="C321" i="3"/>
  <c r="C42" i="108"/>
  <c r="D321" i="3"/>
  <c r="E42" i="108"/>
  <c r="E321" i="3"/>
  <c r="F42" i="108"/>
  <c r="F321" i="3"/>
  <c r="I42" i="108"/>
  <c r="G321" i="3"/>
  <c r="J42" i="108"/>
  <c r="H321" i="3"/>
  <c r="K42" i="108"/>
  <c r="I321" i="3"/>
  <c r="M42" i="108"/>
  <c r="F50" i="6"/>
  <c r="J321" i="3"/>
  <c r="O42" i="108"/>
  <c r="L50" i="6" s="1"/>
  <c r="C329" i="3"/>
  <c r="C43" i="108"/>
  <c r="D329" i="3"/>
  <c r="E43" i="108"/>
  <c r="E329" i="3"/>
  <c r="F43" i="108"/>
  <c r="F329" i="3"/>
  <c r="I43" i="108"/>
  <c r="G329" i="3"/>
  <c r="J43" i="108"/>
  <c r="H329" i="3"/>
  <c r="K43" i="108"/>
  <c r="I329" i="3"/>
  <c r="M43" i="108"/>
  <c r="F51" i="6"/>
  <c r="J329" i="3"/>
  <c r="O43" i="108"/>
  <c r="L51" i="6" s="1"/>
  <c r="C337" i="3"/>
  <c r="C44" i="108"/>
  <c r="D337" i="3"/>
  <c r="E44" i="108"/>
  <c r="E337" i="3"/>
  <c r="F44" i="108"/>
  <c r="F337" i="3"/>
  <c r="I44" i="108"/>
  <c r="G337" i="3"/>
  <c r="J44" i="108"/>
  <c r="J52" i="6" s="1"/>
  <c r="H337" i="3"/>
  <c r="K44" i="108"/>
  <c r="I337" i="3"/>
  <c r="M44" i="108"/>
  <c r="F52" i="6" s="1"/>
  <c r="J337" i="3"/>
  <c r="O44" i="108"/>
  <c r="L52" i="6"/>
  <c r="C345" i="3"/>
  <c r="C45" i="108"/>
  <c r="D345" i="3"/>
  <c r="E45" i="108"/>
  <c r="E345" i="3"/>
  <c r="F45" i="108"/>
  <c r="F345" i="3"/>
  <c r="I45" i="108"/>
  <c r="G345" i="3"/>
  <c r="J45" i="108"/>
  <c r="H345" i="3"/>
  <c r="K45" i="108"/>
  <c r="I345" i="3"/>
  <c r="M45" i="108"/>
  <c r="F53" i="6"/>
  <c r="J345" i="3"/>
  <c r="O45" i="108"/>
  <c r="L53" i="6" s="1"/>
  <c r="C353" i="3"/>
  <c r="C46" i="108"/>
  <c r="D353" i="3"/>
  <c r="E46" i="108"/>
  <c r="E353" i="3"/>
  <c r="F46" i="108"/>
  <c r="F353" i="3"/>
  <c r="I46" i="108"/>
  <c r="G353" i="3"/>
  <c r="J46" i="108"/>
  <c r="H353" i="3"/>
  <c r="K46" i="108"/>
  <c r="I353" i="3"/>
  <c r="M46" i="108"/>
  <c r="F54" i="6"/>
  <c r="J353" i="3"/>
  <c r="O46" i="108"/>
  <c r="L54" i="6" s="1"/>
  <c r="C361" i="3"/>
  <c r="C47" i="108"/>
  <c r="D361" i="3"/>
  <c r="E47" i="108"/>
  <c r="E361" i="3"/>
  <c r="F47" i="108"/>
  <c r="F361" i="3"/>
  <c r="I47" i="108"/>
  <c r="G361" i="3"/>
  <c r="J47" i="108"/>
  <c r="H361" i="3"/>
  <c r="K47" i="108"/>
  <c r="I361" i="3"/>
  <c r="M47" i="108"/>
  <c r="F55" i="6"/>
  <c r="J361" i="3"/>
  <c r="O47" i="108"/>
  <c r="L55" i="6" s="1"/>
  <c r="C369" i="3"/>
  <c r="C48" i="108"/>
  <c r="D369" i="3"/>
  <c r="E48" i="108"/>
  <c r="E369" i="3"/>
  <c r="F48" i="108"/>
  <c r="F369" i="3"/>
  <c r="I48" i="108"/>
  <c r="G369" i="3"/>
  <c r="J48" i="108"/>
  <c r="J56" i="6" s="1"/>
  <c r="H369" i="3"/>
  <c r="K48" i="108"/>
  <c r="I369" i="3"/>
  <c r="M48" i="108"/>
  <c r="F56" i="6" s="1"/>
  <c r="J369" i="3"/>
  <c r="O48" i="108"/>
  <c r="L56" i="6" s="1"/>
  <c r="C377" i="3"/>
  <c r="C49" i="108"/>
  <c r="D377" i="3"/>
  <c r="E49" i="108"/>
  <c r="E377" i="3"/>
  <c r="F49" i="108"/>
  <c r="F377" i="3"/>
  <c r="I49" i="108"/>
  <c r="G377" i="3"/>
  <c r="J49" i="108"/>
  <c r="H377" i="3"/>
  <c r="K49" i="108"/>
  <c r="I377" i="3"/>
  <c r="M49" i="108"/>
  <c r="F57" i="6"/>
  <c r="J377" i="3"/>
  <c r="O49" i="108"/>
  <c r="L57" i="6" s="1"/>
  <c r="C385" i="3"/>
  <c r="C50" i="108"/>
  <c r="D385" i="3"/>
  <c r="E50" i="108"/>
  <c r="E385" i="3"/>
  <c r="F50" i="108"/>
  <c r="F385" i="3"/>
  <c r="I50" i="108"/>
  <c r="G385" i="3"/>
  <c r="J50" i="108"/>
  <c r="J58" i="6" s="1"/>
  <c r="H385" i="3"/>
  <c r="K50" i="108"/>
  <c r="I385" i="3"/>
  <c r="M50" i="108"/>
  <c r="F58" i="6" s="1"/>
  <c r="J385" i="3"/>
  <c r="O50" i="108"/>
  <c r="L58" i="6"/>
  <c r="C393" i="3"/>
  <c r="C51" i="108"/>
  <c r="D393" i="3"/>
  <c r="E51" i="108"/>
  <c r="E393" i="3"/>
  <c r="F51" i="108"/>
  <c r="F393" i="3"/>
  <c r="I51" i="108"/>
  <c r="G393" i="3"/>
  <c r="J51" i="108"/>
  <c r="H393" i="3"/>
  <c r="K51" i="108"/>
  <c r="I393" i="3"/>
  <c r="M51" i="108"/>
  <c r="F59" i="6"/>
  <c r="J393" i="3"/>
  <c r="O51" i="108"/>
  <c r="L59" i="6" s="1"/>
  <c r="C401" i="3"/>
  <c r="C52" i="108"/>
  <c r="D401" i="3"/>
  <c r="E52" i="108"/>
  <c r="E401" i="3"/>
  <c r="F52" i="108"/>
  <c r="F401" i="3"/>
  <c r="I52" i="108"/>
  <c r="G401" i="3"/>
  <c r="J52" i="108"/>
  <c r="J60" i="6" s="1"/>
  <c r="H401" i="3"/>
  <c r="K52" i="108"/>
  <c r="I401" i="3"/>
  <c r="M52" i="108"/>
  <c r="F60" i="6"/>
  <c r="J401" i="3"/>
  <c r="O52" i="108"/>
  <c r="L60" i="6"/>
  <c r="C409" i="3"/>
  <c r="C53" i="108"/>
  <c r="D409" i="3"/>
  <c r="E53" i="108"/>
  <c r="E409" i="3"/>
  <c r="F53" i="108"/>
  <c r="F409" i="3"/>
  <c r="I53" i="108"/>
  <c r="G409" i="3"/>
  <c r="J53" i="108"/>
  <c r="H409" i="3"/>
  <c r="K53" i="108"/>
  <c r="D61" i="6" s="1"/>
  <c r="G61" i="6" s="1"/>
  <c r="I409" i="3"/>
  <c r="M53" i="108"/>
  <c r="F61" i="6"/>
  <c r="J409" i="3"/>
  <c r="O53" i="108"/>
  <c r="L61" i="6" s="1"/>
  <c r="C417" i="3"/>
  <c r="C54" i="108"/>
  <c r="D417" i="3"/>
  <c r="E54" i="108"/>
  <c r="E417" i="3"/>
  <c r="F54" i="108"/>
  <c r="F417" i="3"/>
  <c r="I54" i="108"/>
  <c r="G417" i="3"/>
  <c r="J54" i="108"/>
  <c r="H417" i="3"/>
  <c r="K54" i="108"/>
  <c r="I417" i="3"/>
  <c r="M54" i="108"/>
  <c r="F62" i="6"/>
  <c r="J417" i="3"/>
  <c r="O54" i="108"/>
  <c r="L62" i="6" s="1"/>
  <c r="C425" i="3"/>
  <c r="C55" i="108"/>
  <c r="D425" i="3"/>
  <c r="E55" i="108"/>
  <c r="E425" i="3"/>
  <c r="F55" i="108"/>
  <c r="F425" i="3"/>
  <c r="I55" i="108"/>
  <c r="G425" i="3"/>
  <c r="J55" i="108"/>
  <c r="H425" i="3"/>
  <c r="K55" i="108"/>
  <c r="I425" i="3"/>
  <c r="M55" i="108"/>
  <c r="F63" i="6"/>
  <c r="J425" i="3"/>
  <c r="O55" i="108"/>
  <c r="L63" i="6" s="1"/>
  <c r="C433" i="3"/>
  <c r="C56" i="108"/>
  <c r="D433" i="3"/>
  <c r="E56" i="108"/>
  <c r="E433" i="3"/>
  <c r="F56" i="108"/>
  <c r="F433" i="3"/>
  <c r="I56" i="108"/>
  <c r="G433" i="3"/>
  <c r="J56" i="108"/>
  <c r="J64" i="6" s="1"/>
  <c r="H433" i="3"/>
  <c r="K56" i="108"/>
  <c r="I433" i="3"/>
  <c r="M56" i="108"/>
  <c r="F64" i="6" s="1"/>
  <c r="J433" i="3"/>
  <c r="O56" i="108"/>
  <c r="L64" i="6"/>
  <c r="C441" i="3"/>
  <c r="C57" i="108"/>
  <c r="D441" i="3"/>
  <c r="E57" i="108"/>
  <c r="E441" i="3"/>
  <c r="F57" i="108"/>
  <c r="F441" i="3"/>
  <c r="I57" i="108"/>
  <c r="G441" i="3"/>
  <c r="J57" i="108"/>
  <c r="H441" i="3"/>
  <c r="K57" i="108"/>
  <c r="C65" i="6" s="1"/>
  <c r="E65" i="6" s="1"/>
  <c r="I441" i="3"/>
  <c r="M57" i="108"/>
  <c r="F65" i="6"/>
  <c r="J441" i="3"/>
  <c r="O57" i="108"/>
  <c r="L65" i="6" s="1"/>
  <c r="C449" i="3"/>
  <c r="C58" i="108"/>
  <c r="D449" i="3"/>
  <c r="E58" i="108"/>
  <c r="E449" i="3"/>
  <c r="F58" i="108"/>
  <c r="F449" i="3"/>
  <c r="I58" i="108"/>
  <c r="G449" i="3"/>
  <c r="J58" i="108"/>
  <c r="H449" i="3"/>
  <c r="K58" i="108"/>
  <c r="I449" i="3"/>
  <c r="M58" i="108"/>
  <c r="F66" i="6"/>
  <c r="J449" i="3"/>
  <c r="O58" i="108"/>
  <c r="L66" i="6" s="1"/>
  <c r="C457" i="3"/>
  <c r="C59" i="108"/>
  <c r="D457" i="3"/>
  <c r="E59" i="108"/>
  <c r="E457" i="3"/>
  <c r="F59" i="108"/>
  <c r="F457" i="3"/>
  <c r="I59" i="108"/>
  <c r="G457" i="3"/>
  <c r="J59" i="108"/>
  <c r="H457" i="3"/>
  <c r="K59" i="108"/>
  <c r="I457" i="3"/>
  <c r="M59" i="108"/>
  <c r="F67" i="6"/>
  <c r="J457" i="3"/>
  <c r="O59" i="108"/>
  <c r="L67" i="6" s="1"/>
  <c r="C465" i="3"/>
  <c r="C60" i="108"/>
  <c r="D465" i="3"/>
  <c r="E60" i="108"/>
  <c r="E465" i="3"/>
  <c r="F60" i="108"/>
  <c r="F465" i="3"/>
  <c r="I60" i="108"/>
  <c r="G465" i="3"/>
  <c r="J60" i="108"/>
  <c r="J68" i="6" s="1"/>
  <c r="H465" i="3"/>
  <c r="K60" i="108"/>
  <c r="I465" i="3"/>
  <c r="M60" i="108"/>
  <c r="J465" i="3"/>
  <c r="O60" i="108"/>
  <c r="L68" i="6"/>
  <c r="C473" i="3"/>
  <c r="C61" i="108"/>
  <c r="D473" i="3"/>
  <c r="E61" i="108"/>
  <c r="E473" i="3"/>
  <c r="F61" i="108"/>
  <c r="F473" i="3"/>
  <c r="I61" i="108"/>
  <c r="G473" i="3"/>
  <c r="J61" i="108"/>
  <c r="H473" i="3"/>
  <c r="K61" i="108"/>
  <c r="I473" i="3"/>
  <c r="M61" i="108"/>
  <c r="F69" i="6" s="1"/>
  <c r="J473" i="3"/>
  <c r="O61" i="108"/>
  <c r="L69" i="6"/>
  <c r="C481" i="3"/>
  <c r="C62" i="108"/>
  <c r="D481" i="3"/>
  <c r="E62" i="108"/>
  <c r="E481" i="3"/>
  <c r="F62" i="108"/>
  <c r="F481" i="3"/>
  <c r="I62" i="108"/>
  <c r="G481" i="3"/>
  <c r="J62" i="108"/>
  <c r="J70" i="6" s="1"/>
  <c r="H481" i="3"/>
  <c r="K62" i="108"/>
  <c r="D70" i="6" s="1"/>
  <c r="G70" i="6" s="1"/>
  <c r="I481" i="3"/>
  <c r="M62" i="108"/>
  <c r="F70" i="6" s="1"/>
  <c r="J481" i="3"/>
  <c r="O62" i="108"/>
  <c r="L70" i="6"/>
  <c r="C489" i="3"/>
  <c r="C63" i="108"/>
  <c r="D489" i="3"/>
  <c r="E63" i="108"/>
  <c r="E489" i="3"/>
  <c r="F63" i="108"/>
  <c r="F489" i="3"/>
  <c r="I63" i="108"/>
  <c r="G489" i="3"/>
  <c r="J63" i="108"/>
  <c r="H489" i="3"/>
  <c r="K63" i="108"/>
  <c r="I489" i="3"/>
  <c r="M63" i="108"/>
  <c r="F71" i="6" s="1"/>
  <c r="J489" i="3"/>
  <c r="O63" i="108"/>
  <c r="C497" i="3"/>
  <c r="C64" i="108"/>
  <c r="D497" i="3"/>
  <c r="E64" i="108"/>
  <c r="E497" i="3"/>
  <c r="F64" i="108"/>
  <c r="F497" i="3"/>
  <c r="I64" i="108"/>
  <c r="G497" i="3"/>
  <c r="J64" i="108"/>
  <c r="H497" i="3"/>
  <c r="K64" i="108"/>
  <c r="I497" i="3"/>
  <c r="M64" i="108"/>
  <c r="F72" i="6"/>
  <c r="J497" i="3"/>
  <c r="O64" i="108"/>
  <c r="L72" i="6" s="1"/>
  <c r="C505" i="3"/>
  <c r="C65" i="108"/>
  <c r="D505" i="3"/>
  <c r="E65" i="108"/>
  <c r="E505" i="3"/>
  <c r="F65" i="108"/>
  <c r="F505" i="3"/>
  <c r="I65" i="108"/>
  <c r="G505" i="3"/>
  <c r="J65" i="108"/>
  <c r="H505" i="3"/>
  <c r="K65" i="108"/>
  <c r="I505" i="3"/>
  <c r="M65" i="108"/>
  <c r="F73" i="6" s="1"/>
  <c r="J505" i="3"/>
  <c r="O65" i="108"/>
  <c r="L73" i="6" s="1"/>
  <c r="C513" i="3"/>
  <c r="C66" i="108"/>
  <c r="D513" i="3"/>
  <c r="E66" i="108"/>
  <c r="E513" i="3"/>
  <c r="F66" i="108"/>
  <c r="F513" i="3"/>
  <c r="I66" i="108"/>
  <c r="G513" i="3"/>
  <c r="J66" i="108"/>
  <c r="H513" i="3"/>
  <c r="K66" i="108"/>
  <c r="C74" i="6" s="1"/>
  <c r="I513" i="3"/>
  <c r="M66" i="108"/>
  <c r="F74" i="6"/>
  <c r="J513" i="3"/>
  <c r="O66" i="108"/>
  <c r="L74" i="6" s="1"/>
  <c r="C521" i="3"/>
  <c r="C67" i="108"/>
  <c r="D521" i="3"/>
  <c r="E67" i="108"/>
  <c r="E521" i="3"/>
  <c r="F67" i="108"/>
  <c r="F521" i="3"/>
  <c r="I67" i="108"/>
  <c r="G521" i="3"/>
  <c r="J67" i="108"/>
  <c r="H521" i="3"/>
  <c r="K67" i="108"/>
  <c r="I521" i="3"/>
  <c r="M67" i="108"/>
  <c r="F75" i="6" s="1"/>
  <c r="J521" i="3"/>
  <c r="O67" i="108"/>
  <c r="L75" i="6"/>
  <c r="C529" i="3"/>
  <c r="C68" i="108"/>
  <c r="D529" i="3"/>
  <c r="E68" i="108"/>
  <c r="E529" i="3"/>
  <c r="F68" i="108"/>
  <c r="F529" i="3"/>
  <c r="I68" i="108"/>
  <c r="G529" i="3"/>
  <c r="J68" i="108"/>
  <c r="H529" i="3"/>
  <c r="K68" i="108"/>
  <c r="D76" i="6" s="1"/>
  <c r="I529" i="3"/>
  <c r="M68" i="108"/>
  <c r="F76" i="6"/>
  <c r="J529" i="3"/>
  <c r="O68" i="108"/>
  <c r="L76" i="6" s="1"/>
  <c r="C537" i="3"/>
  <c r="C69" i="108"/>
  <c r="D537" i="3"/>
  <c r="E69" i="108"/>
  <c r="E537" i="3"/>
  <c r="F69" i="108"/>
  <c r="F537" i="3"/>
  <c r="I69" i="108"/>
  <c r="G537" i="3"/>
  <c r="J69" i="108"/>
  <c r="H537" i="3"/>
  <c r="K69" i="108"/>
  <c r="I537" i="3"/>
  <c r="M69" i="108"/>
  <c r="F77" i="6"/>
  <c r="J537" i="3"/>
  <c r="O69" i="108"/>
  <c r="L77" i="6" s="1"/>
  <c r="C545" i="3"/>
  <c r="C70" i="108"/>
  <c r="D545" i="3"/>
  <c r="E70" i="108"/>
  <c r="E545" i="3"/>
  <c r="F70" i="108"/>
  <c r="F545" i="3"/>
  <c r="I70" i="108"/>
  <c r="G545" i="3"/>
  <c r="J70" i="108"/>
  <c r="J78" i="6"/>
  <c r="H545" i="3"/>
  <c r="K70" i="108"/>
  <c r="I545" i="3"/>
  <c r="M70" i="108"/>
  <c r="F78" i="6" s="1"/>
  <c r="J545" i="3"/>
  <c r="O70" i="108"/>
  <c r="L78" i="6"/>
  <c r="C553" i="3"/>
  <c r="C71" i="108"/>
  <c r="D553" i="3"/>
  <c r="E71" i="108"/>
  <c r="E553" i="3"/>
  <c r="F71" i="108"/>
  <c r="F553" i="3"/>
  <c r="I71" i="108"/>
  <c r="G553" i="3"/>
  <c r="J71" i="108"/>
  <c r="H553" i="3"/>
  <c r="K71" i="108"/>
  <c r="D79" i="6" s="1"/>
  <c r="I553" i="3"/>
  <c r="M71" i="108"/>
  <c r="F79" i="6" s="1"/>
  <c r="J553" i="3"/>
  <c r="O71" i="108"/>
  <c r="L79" i="6" s="1"/>
  <c r="C561" i="3"/>
  <c r="C72" i="108"/>
  <c r="D561" i="3"/>
  <c r="E72" i="108"/>
  <c r="E561" i="3"/>
  <c r="F72" i="108"/>
  <c r="F561" i="3"/>
  <c r="I72" i="108"/>
  <c r="G561" i="3"/>
  <c r="J72" i="108"/>
  <c r="J80" i="6"/>
  <c r="H561" i="3"/>
  <c r="K72" i="108"/>
  <c r="I561" i="3"/>
  <c r="M72" i="108"/>
  <c r="F80" i="6" s="1"/>
  <c r="J561" i="3"/>
  <c r="O72" i="108"/>
  <c r="L80" i="6" s="1"/>
  <c r="C569" i="3"/>
  <c r="C73" i="108"/>
  <c r="D569" i="3"/>
  <c r="E73" i="108"/>
  <c r="E569" i="3"/>
  <c r="F73" i="108"/>
  <c r="F569" i="3"/>
  <c r="I73" i="108"/>
  <c r="G569" i="3"/>
  <c r="J73" i="108"/>
  <c r="H569" i="3"/>
  <c r="K73" i="108"/>
  <c r="I569" i="3"/>
  <c r="M73" i="108"/>
  <c r="F81" i="6"/>
  <c r="J569" i="3"/>
  <c r="O73" i="108"/>
  <c r="L81" i="6" s="1"/>
  <c r="C577" i="3"/>
  <c r="C74" i="108"/>
  <c r="D577" i="3"/>
  <c r="E74" i="108"/>
  <c r="E577" i="3"/>
  <c r="F74" i="108"/>
  <c r="F577" i="3"/>
  <c r="I74" i="108"/>
  <c r="G577" i="3"/>
  <c r="J74" i="108"/>
  <c r="J82" i="6" s="1"/>
  <c r="H577" i="3"/>
  <c r="K74" i="108"/>
  <c r="D82" i="6" s="1"/>
  <c r="G82" i="6" s="1"/>
  <c r="I577" i="3"/>
  <c r="M74" i="108"/>
  <c r="F82" i="6" s="1"/>
  <c r="J577" i="3"/>
  <c r="O74" i="108"/>
  <c r="L82" i="6" s="1"/>
  <c r="C585" i="3"/>
  <c r="C75" i="108"/>
  <c r="D585" i="3"/>
  <c r="E75" i="108"/>
  <c r="E585" i="3"/>
  <c r="F75" i="108"/>
  <c r="F585" i="3"/>
  <c r="I75" i="108"/>
  <c r="G585" i="3"/>
  <c r="J75" i="108"/>
  <c r="H585" i="3"/>
  <c r="K75" i="108"/>
  <c r="D83" i="6" s="1"/>
  <c r="I585" i="3"/>
  <c r="M75" i="108"/>
  <c r="F83" i="6"/>
  <c r="J585" i="3"/>
  <c r="O75" i="108"/>
  <c r="L83" i="6"/>
  <c r="C593" i="3"/>
  <c r="C76" i="108"/>
  <c r="D593" i="3"/>
  <c r="E76" i="108"/>
  <c r="E593" i="3"/>
  <c r="F76" i="108"/>
  <c r="F593" i="3"/>
  <c r="I76" i="108"/>
  <c r="G593" i="3"/>
  <c r="J76" i="108"/>
  <c r="J84" i="6" s="1"/>
  <c r="H593" i="3"/>
  <c r="K76" i="108"/>
  <c r="I593" i="3"/>
  <c r="M76" i="108"/>
  <c r="F84" i="6"/>
  <c r="J593" i="3"/>
  <c r="O76" i="108"/>
  <c r="L84" i="6" s="1"/>
  <c r="C601" i="3"/>
  <c r="C77" i="108"/>
  <c r="D601" i="3"/>
  <c r="E77" i="108"/>
  <c r="E601" i="3"/>
  <c r="F77" i="108"/>
  <c r="F601" i="3"/>
  <c r="I77" i="108"/>
  <c r="G601" i="3"/>
  <c r="J77" i="108"/>
  <c r="J85" i="6" s="1"/>
  <c r="H601" i="3"/>
  <c r="K77" i="108"/>
  <c r="I601" i="3"/>
  <c r="M77" i="108"/>
  <c r="F85" i="6" s="1"/>
  <c r="J601" i="3"/>
  <c r="O77" i="108"/>
  <c r="L85" i="6" s="1"/>
  <c r="C609" i="3"/>
  <c r="C78" i="108"/>
  <c r="D609" i="3"/>
  <c r="E78" i="108"/>
  <c r="E609" i="3"/>
  <c r="F78" i="108"/>
  <c r="F609" i="3"/>
  <c r="I78" i="108"/>
  <c r="G609" i="3"/>
  <c r="J78" i="108"/>
  <c r="J86" i="6"/>
  <c r="H609" i="3"/>
  <c r="K78" i="108"/>
  <c r="I609" i="3"/>
  <c r="M78" i="108"/>
  <c r="F86" i="6" s="1"/>
  <c r="J609" i="3"/>
  <c r="O78" i="108"/>
  <c r="L86" i="6"/>
  <c r="C617" i="3"/>
  <c r="C79" i="108"/>
  <c r="D617" i="3"/>
  <c r="E79" i="108"/>
  <c r="E617" i="3"/>
  <c r="F79" i="108"/>
  <c r="F617" i="3"/>
  <c r="I79" i="108"/>
  <c r="G617" i="3"/>
  <c r="J79" i="108"/>
  <c r="H617" i="3"/>
  <c r="K79" i="108"/>
  <c r="I617" i="3"/>
  <c r="M79" i="108"/>
  <c r="F87" i="6" s="1"/>
  <c r="J617" i="3"/>
  <c r="O79" i="108"/>
  <c r="L87" i="6" s="1"/>
  <c r="C625" i="3"/>
  <c r="C80" i="108"/>
  <c r="D625" i="3"/>
  <c r="E80" i="108"/>
  <c r="E625" i="3"/>
  <c r="F80" i="108"/>
  <c r="F625" i="3"/>
  <c r="I80" i="108"/>
  <c r="G625" i="3"/>
  <c r="J80" i="108"/>
  <c r="J88" i="6"/>
  <c r="H625" i="3"/>
  <c r="K80" i="108"/>
  <c r="I625" i="3"/>
  <c r="M80" i="108"/>
  <c r="F88" i="6" s="1"/>
  <c r="J625" i="3"/>
  <c r="O80" i="108"/>
  <c r="L88" i="6"/>
  <c r="C633" i="3"/>
  <c r="C81" i="108"/>
  <c r="D633" i="3"/>
  <c r="E81" i="108"/>
  <c r="E633" i="3"/>
  <c r="F81" i="108"/>
  <c r="F633" i="3"/>
  <c r="I81" i="108"/>
  <c r="G633" i="3"/>
  <c r="J81" i="108"/>
  <c r="H633" i="3"/>
  <c r="K81" i="108"/>
  <c r="D89" i="6" s="1"/>
  <c r="G89" i="6" s="1"/>
  <c r="I633" i="3"/>
  <c r="M81" i="108"/>
  <c r="F89" i="6"/>
  <c r="J633" i="3"/>
  <c r="O81" i="108"/>
  <c r="L89" i="6" s="1"/>
  <c r="C641" i="3"/>
  <c r="C82" i="108"/>
  <c r="D641" i="3"/>
  <c r="E82" i="108"/>
  <c r="E641" i="3"/>
  <c r="F82" i="108"/>
  <c r="F641" i="3"/>
  <c r="I82" i="108"/>
  <c r="G641" i="3"/>
  <c r="J82" i="108"/>
  <c r="J90" i="6"/>
  <c r="H641" i="3"/>
  <c r="K82" i="108"/>
  <c r="I641" i="3"/>
  <c r="M82" i="108"/>
  <c r="F90" i="6" s="1"/>
  <c r="J641" i="3"/>
  <c r="O82" i="108"/>
  <c r="L90" i="6"/>
  <c r="C649" i="3"/>
  <c r="C83" i="108"/>
  <c r="D649" i="3"/>
  <c r="E83" i="108"/>
  <c r="E649" i="3"/>
  <c r="F83" i="108"/>
  <c r="F649" i="3"/>
  <c r="I83" i="108"/>
  <c r="G649" i="3"/>
  <c r="J83" i="108"/>
  <c r="H649" i="3"/>
  <c r="K83" i="108"/>
  <c r="D91" i="6" s="1"/>
  <c r="I649" i="3"/>
  <c r="M83" i="108"/>
  <c r="F91" i="6" s="1"/>
  <c r="J649" i="3"/>
  <c r="O83" i="108"/>
  <c r="L91" i="6"/>
  <c r="C657" i="3"/>
  <c r="C84" i="108"/>
  <c r="D657" i="3"/>
  <c r="E84" i="108"/>
  <c r="E657" i="3"/>
  <c r="F84" i="108"/>
  <c r="F657" i="3"/>
  <c r="I84" i="108"/>
  <c r="G657" i="3"/>
  <c r="J84" i="108"/>
  <c r="J92" i="6" s="1"/>
  <c r="H657" i="3"/>
  <c r="K84" i="108"/>
  <c r="I657" i="3"/>
  <c r="M84" i="108"/>
  <c r="F92" i="6"/>
  <c r="J657" i="3"/>
  <c r="O84" i="108"/>
  <c r="L92" i="6" s="1"/>
  <c r="C665" i="3"/>
  <c r="C85" i="108"/>
  <c r="D665" i="3"/>
  <c r="E85" i="108"/>
  <c r="E665" i="3"/>
  <c r="F85" i="108"/>
  <c r="F665" i="3"/>
  <c r="I85" i="108"/>
  <c r="G665" i="3"/>
  <c r="J85" i="108"/>
  <c r="J93" i="6"/>
  <c r="H665" i="3"/>
  <c r="K85" i="108"/>
  <c r="I665" i="3"/>
  <c r="M85" i="108"/>
  <c r="F93" i="6" s="1"/>
  <c r="J665" i="3"/>
  <c r="O85" i="108"/>
  <c r="L93" i="6"/>
  <c r="C673" i="3"/>
  <c r="C86" i="108"/>
  <c r="D673" i="3"/>
  <c r="E86" i="108"/>
  <c r="E673" i="3"/>
  <c r="F86" i="108"/>
  <c r="F673" i="3"/>
  <c r="I86" i="108"/>
  <c r="G673" i="3"/>
  <c r="J86" i="108"/>
  <c r="J94" i="6"/>
  <c r="H673" i="3"/>
  <c r="K86" i="108"/>
  <c r="I673" i="3"/>
  <c r="M86" i="108"/>
  <c r="F94" i="6"/>
  <c r="J673" i="3"/>
  <c r="O86" i="108"/>
  <c r="L94" i="6"/>
  <c r="C681" i="3"/>
  <c r="C87" i="108"/>
  <c r="D681" i="3"/>
  <c r="E87" i="108"/>
  <c r="E681" i="3"/>
  <c r="F87" i="108"/>
  <c r="F681" i="3"/>
  <c r="I87" i="108"/>
  <c r="G681" i="3"/>
  <c r="J87" i="108"/>
  <c r="H681" i="3"/>
  <c r="K87" i="108"/>
  <c r="I681" i="3"/>
  <c r="M87" i="108"/>
  <c r="F95" i="6"/>
  <c r="J681" i="3"/>
  <c r="O87" i="108"/>
  <c r="L95" i="6" s="1"/>
  <c r="C689" i="3"/>
  <c r="C88" i="108"/>
  <c r="D689" i="3"/>
  <c r="E88" i="108"/>
  <c r="E689" i="3"/>
  <c r="F88" i="108"/>
  <c r="F689" i="3"/>
  <c r="I88" i="108"/>
  <c r="G689" i="3"/>
  <c r="J88" i="108"/>
  <c r="J96" i="6"/>
  <c r="H689" i="3"/>
  <c r="K88" i="108"/>
  <c r="C96" i="6" s="1"/>
  <c r="E96" i="6" s="1"/>
  <c r="I689" i="3"/>
  <c r="M88" i="108"/>
  <c r="F96" i="6" s="1"/>
  <c r="J689" i="3"/>
  <c r="O88" i="108"/>
  <c r="L96" i="6" s="1"/>
  <c r="C697" i="3"/>
  <c r="C89" i="108"/>
  <c r="D697" i="3"/>
  <c r="E89" i="108"/>
  <c r="E697" i="3"/>
  <c r="F89" i="108"/>
  <c r="F697" i="3"/>
  <c r="I89" i="108"/>
  <c r="G697" i="3"/>
  <c r="J89" i="108"/>
  <c r="H697" i="3"/>
  <c r="K89" i="108"/>
  <c r="I697" i="3"/>
  <c r="M89" i="108"/>
  <c r="F97" i="6"/>
  <c r="J697" i="3"/>
  <c r="O89" i="108"/>
  <c r="L97" i="6"/>
  <c r="C705" i="3"/>
  <c r="C90" i="108"/>
  <c r="D705" i="3"/>
  <c r="E90" i="108"/>
  <c r="E705" i="3"/>
  <c r="F90" i="108"/>
  <c r="F705" i="3"/>
  <c r="I90" i="108"/>
  <c r="G705" i="3"/>
  <c r="J90" i="108"/>
  <c r="J98" i="6" s="1"/>
  <c r="H705" i="3"/>
  <c r="K90" i="108"/>
  <c r="I705" i="3"/>
  <c r="M90" i="108"/>
  <c r="F98" i="6"/>
  <c r="J705" i="3"/>
  <c r="O90" i="108"/>
  <c r="L98" i="6" s="1"/>
  <c r="C713" i="3"/>
  <c r="C91" i="108"/>
  <c r="D713" i="3"/>
  <c r="E91" i="108"/>
  <c r="E713" i="3"/>
  <c r="F91" i="108"/>
  <c r="F713" i="3"/>
  <c r="I91" i="108"/>
  <c r="G713" i="3"/>
  <c r="J91" i="108"/>
  <c r="J99" i="6" s="1"/>
  <c r="H713" i="3"/>
  <c r="K91" i="108"/>
  <c r="I713" i="3"/>
  <c r="M91" i="108"/>
  <c r="F99" i="6" s="1"/>
  <c r="J713" i="3"/>
  <c r="O91" i="108"/>
  <c r="L99" i="6"/>
  <c r="C721" i="3"/>
  <c r="C92" i="108"/>
  <c r="D721" i="3"/>
  <c r="E92" i="108"/>
  <c r="E721" i="3"/>
  <c r="F92" i="108"/>
  <c r="F721" i="3"/>
  <c r="I92" i="108"/>
  <c r="G721" i="3"/>
  <c r="J92" i="108"/>
  <c r="J100" i="6"/>
  <c r="H721" i="3"/>
  <c r="K92" i="108"/>
  <c r="I721" i="3"/>
  <c r="M92" i="108"/>
  <c r="F100" i="6"/>
  <c r="J721" i="3"/>
  <c r="O92" i="108"/>
  <c r="L100" i="6"/>
  <c r="C729" i="3"/>
  <c r="C93" i="108"/>
  <c r="D729" i="3"/>
  <c r="E93" i="108"/>
  <c r="E729" i="3"/>
  <c r="F93" i="108"/>
  <c r="F729" i="3"/>
  <c r="I93" i="108"/>
  <c r="G729" i="3"/>
  <c r="J93" i="108"/>
  <c r="J101" i="6" s="1"/>
  <c r="H729" i="3"/>
  <c r="K93" i="108"/>
  <c r="I729" i="3"/>
  <c r="M93" i="108"/>
  <c r="F101" i="6"/>
  <c r="J729" i="3"/>
  <c r="O93" i="108"/>
  <c r="L101" i="6" s="1"/>
  <c r="C737" i="3"/>
  <c r="C94" i="108"/>
  <c r="D737" i="3"/>
  <c r="E94" i="108"/>
  <c r="E737" i="3"/>
  <c r="F94" i="108"/>
  <c r="F737" i="3"/>
  <c r="I94" i="108"/>
  <c r="G737" i="3"/>
  <c r="J94" i="108"/>
  <c r="J102" i="6" s="1"/>
  <c r="H737" i="3"/>
  <c r="K94" i="108"/>
  <c r="I737" i="3"/>
  <c r="M94" i="108"/>
  <c r="F102" i="6" s="1"/>
  <c r="J737" i="3"/>
  <c r="O94" i="108"/>
  <c r="L102" i="6" s="1"/>
  <c r="C745" i="3"/>
  <c r="C95" i="108"/>
  <c r="D745" i="3"/>
  <c r="E95" i="108"/>
  <c r="E745" i="3"/>
  <c r="F95" i="108"/>
  <c r="F745" i="3"/>
  <c r="I95" i="108"/>
  <c r="G745" i="3"/>
  <c r="J95" i="108"/>
  <c r="J103" i="6" s="1"/>
  <c r="H745" i="3"/>
  <c r="K95" i="108"/>
  <c r="I745" i="3"/>
  <c r="M95" i="108"/>
  <c r="F103" i="6" s="1"/>
  <c r="J745" i="3"/>
  <c r="O95" i="108"/>
  <c r="L103" i="6" s="1"/>
  <c r="C753" i="3"/>
  <c r="C96" i="108"/>
  <c r="D753" i="3"/>
  <c r="E96" i="108"/>
  <c r="E753" i="3"/>
  <c r="F96" i="108"/>
  <c r="F753" i="3"/>
  <c r="I96" i="108"/>
  <c r="G753" i="3"/>
  <c r="J96" i="108"/>
  <c r="J104" i="6" s="1"/>
  <c r="H753" i="3"/>
  <c r="K96" i="108"/>
  <c r="I753" i="3"/>
  <c r="M96" i="108"/>
  <c r="F104" i="6" s="1"/>
  <c r="J753" i="3"/>
  <c r="O96" i="108"/>
  <c r="L104" i="6"/>
  <c r="C761" i="3"/>
  <c r="C97" i="108"/>
  <c r="D761" i="3"/>
  <c r="E97" i="108"/>
  <c r="E761" i="3"/>
  <c r="F97" i="108"/>
  <c r="F761" i="3"/>
  <c r="I97" i="108"/>
  <c r="G761" i="3"/>
  <c r="J97" i="108"/>
  <c r="J105" i="6" s="1"/>
  <c r="H761" i="3"/>
  <c r="K97" i="108"/>
  <c r="D105" i="6" s="1"/>
  <c r="G105" i="6" s="1"/>
  <c r="I761" i="3"/>
  <c r="M97" i="108"/>
  <c r="F105" i="6" s="1"/>
  <c r="J761" i="3"/>
  <c r="O97" i="108"/>
  <c r="L105" i="6"/>
  <c r="C769" i="3"/>
  <c r="C98" i="108"/>
  <c r="D769" i="3"/>
  <c r="E98" i="108"/>
  <c r="E769" i="3"/>
  <c r="F98" i="108"/>
  <c r="F769" i="3"/>
  <c r="I98" i="108"/>
  <c r="G769" i="3"/>
  <c r="J98" i="108"/>
  <c r="J106" i="6" s="1"/>
  <c r="H769" i="3"/>
  <c r="K98" i="108"/>
  <c r="D106" i="6" s="1"/>
  <c r="G106" i="6" s="1"/>
  <c r="I769" i="3"/>
  <c r="M98" i="108"/>
  <c r="F106" i="6"/>
  <c r="J769" i="3"/>
  <c r="O98" i="108"/>
  <c r="L106" i="6" s="1"/>
  <c r="C777" i="3"/>
  <c r="C99" i="108"/>
  <c r="D777" i="3"/>
  <c r="E99" i="108"/>
  <c r="E777" i="3"/>
  <c r="F99" i="108"/>
  <c r="F777" i="3"/>
  <c r="I99" i="108"/>
  <c r="G777" i="3"/>
  <c r="J99" i="108"/>
  <c r="J107" i="6" s="1"/>
  <c r="H777" i="3"/>
  <c r="K99" i="108"/>
  <c r="I777" i="3"/>
  <c r="M99" i="108"/>
  <c r="F107" i="6" s="1"/>
  <c r="J777" i="3"/>
  <c r="O99" i="108"/>
  <c r="L107" i="6"/>
  <c r="C785" i="3"/>
  <c r="C100" i="108"/>
  <c r="D785" i="3"/>
  <c r="E100" i="108"/>
  <c r="E785" i="3"/>
  <c r="F100" i="108"/>
  <c r="F785" i="3"/>
  <c r="I100" i="108"/>
  <c r="G785" i="3"/>
  <c r="J100" i="108"/>
  <c r="J108" i="6"/>
  <c r="H785" i="3"/>
  <c r="K100" i="108"/>
  <c r="I785" i="3"/>
  <c r="M100" i="108"/>
  <c r="F108" i="6"/>
  <c r="J785" i="3"/>
  <c r="O100" i="108"/>
  <c r="L108" i="6"/>
  <c r="C793" i="3"/>
  <c r="C101" i="108"/>
  <c r="D793" i="3"/>
  <c r="E101" i="108"/>
  <c r="E793" i="3"/>
  <c r="F101" i="108"/>
  <c r="F793" i="3"/>
  <c r="I101" i="108"/>
  <c r="G793" i="3"/>
  <c r="J101" i="108"/>
  <c r="J109" i="6" s="1"/>
  <c r="H793" i="3"/>
  <c r="K101" i="108"/>
  <c r="D109" i="6" s="1"/>
  <c r="I793" i="3"/>
  <c r="M101" i="108"/>
  <c r="F109" i="6"/>
  <c r="J793" i="3"/>
  <c r="O101" i="108"/>
  <c r="L109" i="6" s="1"/>
  <c r="C801" i="3"/>
  <c r="C102" i="108"/>
  <c r="D801" i="3"/>
  <c r="E102" i="108"/>
  <c r="E801" i="3"/>
  <c r="F102" i="108"/>
  <c r="F801" i="3"/>
  <c r="I102" i="108"/>
  <c r="G801" i="3"/>
  <c r="J102" i="108"/>
  <c r="J110" i="6"/>
  <c r="H801" i="3"/>
  <c r="K102" i="108"/>
  <c r="C110" i="6" s="1"/>
  <c r="I801" i="3"/>
  <c r="M102" i="108"/>
  <c r="F110" i="6" s="1"/>
  <c r="J801" i="3"/>
  <c r="O102" i="108"/>
  <c r="L110" i="6" s="1"/>
  <c r="C809" i="3"/>
  <c r="C103" i="108"/>
  <c r="D809" i="3"/>
  <c r="E103" i="108"/>
  <c r="E809" i="3"/>
  <c r="F103" i="108"/>
  <c r="F809" i="3"/>
  <c r="I103" i="108"/>
  <c r="G809" i="3"/>
  <c r="J103" i="108"/>
  <c r="H809" i="3"/>
  <c r="K103" i="108"/>
  <c r="I809" i="3"/>
  <c r="M103" i="108"/>
  <c r="F111" i="6"/>
  <c r="J809" i="3"/>
  <c r="O103" i="108"/>
  <c r="L111" i="6"/>
  <c r="C817" i="3"/>
  <c r="C104" i="108"/>
  <c r="D817" i="3"/>
  <c r="E104" i="108"/>
  <c r="E817" i="3"/>
  <c r="F104" i="108"/>
  <c r="F817" i="3"/>
  <c r="I104" i="108"/>
  <c r="G817" i="3"/>
  <c r="J104" i="108"/>
  <c r="J112" i="6" s="1"/>
  <c r="H817" i="3"/>
  <c r="K104" i="108"/>
  <c r="I817" i="3"/>
  <c r="M104" i="108"/>
  <c r="F112" i="6"/>
  <c r="J817" i="3"/>
  <c r="O104" i="108"/>
  <c r="L112" i="6" s="1"/>
  <c r="C825" i="3"/>
  <c r="C105" i="108"/>
  <c r="D825" i="3"/>
  <c r="E105" i="108"/>
  <c r="E825" i="3"/>
  <c r="F105" i="108"/>
  <c r="F825" i="3"/>
  <c r="I105" i="108"/>
  <c r="G825" i="3"/>
  <c r="J105" i="108"/>
  <c r="H825" i="3"/>
  <c r="K105" i="108"/>
  <c r="I825" i="3"/>
  <c r="M105" i="108"/>
  <c r="F113" i="6"/>
  <c r="J825" i="3"/>
  <c r="O105" i="108"/>
  <c r="L113" i="6"/>
  <c r="C833" i="3"/>
  <c r="C106" i="108"/>
  <c r="D833" i="3"/>
  <c r="E106" i="108"/>
  <c r="E833" i="3"/>
  <c r="F106" i="108"/>
  <c r="F833" i="3"/>
  <c r="I106" i="108"/>
  <c r="G833" i="3"/>
  <c r="J106" i="108"/>
  <c r="J114" i="6"/>
  <c r="H833" i="3"/>
  <c r="K106" i="108"/>
  <c r="I833" i="3"/>
  <c r="M106" i="108"/>
  <c r="F114" i="6"/>
  <c r="J833" i="3"/>
  <c r="O106" i="108"/>
  <c r="L114" i="6"/>
  <c r="C841" i="3"/>
  <c r="C107" i="108"/>
  <c r="D841" i="3"/>
  <c r="E107" i="108"/>
  <c r="E841" i="3"/>
  <c r="F107" i="108"/>
  <c r="F841" i="3"/>
  <c r="I107" i="108"/>
  <c r="G841" i="3"/>
  <c r="J107" i="108"/>
  <c r="J115" i="6" s="1"/>
  <c r="H841" i="3"/>
  <c r="K107" i="108"/>
  <c r="I841" i="3"/>
  <c r="M107" i="108"/>
  <c r="F115" i="6"/>
  <c r="J841" i="3"/>
  <c r="O107" i="108"/>
  <c r="L115" i="6" s="1"/>
  <c r="C849" i="3"/>
  <c r="C108" i="108"/>
  <c r="D849" i="3"/>
  <c r="E108" i="108"/>
  <c r="E849" i="3"/>
  <c r="F108" i="108"/>
  <c r="F849" i="3"/>
  <c r="I108" i="108"/>
  <c r="G849" i="3"/>
  <c r="J108" i="108"/>
  <c r="J116" i="6" s="1"/>
  <c r="H849" i="3"/>
  <c r="K108" i="108"/>
  <c r="I849" i="3"/>
  <c r="M108" i="108"/>
  <c r="F116" i="6" s="1"/>
  <c r="J849" i="3"/>
  <c r="O108" i="108"/>
  <c r="L116" i="6"/>
  <c r="J17" i="3"/>
  <c r="O4" i="108"/>
  <c r="L12" i="6" s="1"/>
  <c r="I17" i="3"/>
  <c r="M4" i="108"/>
  <c r="F12" i="6"/>
  <c r="H17" i="3"/>
  <c r="K4" i="108"/>
  <c r="G17" i="3"/>
  <c r="J4" i="108"/>
  <c r="J12" i="6" s="1"/>
  <c r="F17" i="3"/>
  <c r="I4" i="108"/>
  <c r="E17" i="3"/>
  <c r="F4" i="108"/>
  <c r="D17" i="3"/>
  <c r="E4" i="108"/>
  <c r="C17" i="3"/>
  <c r="C4" i="108"/>
  <c r="J9" i="3"/>
  <c r="O3" i="108"/>
  <c r="L11" i="6"/>
  <c r="G9" i="3"/>
  <c r="F9" i="3"/>
  <c r="I161" i="2"/>
  <c r="L22" i="107"/>
  <c r="O28" i="4" s="1"/>
  <c r="H161" i="2"/>
  <c r="G161" i="2"/>
  <c r="F161" i="2"/>
  <c r="E161" i="2"/>
  <c r="F22" i="107"/>
  <c r="J28" i="4" s="1" a="1"/>
  <c r="J28" i="4" s="1"/>
  <c r="L28" i="4" s="1"/>
  <c r="D161" i="2"/>
  <c r="D25" i="2"/>
  <c r="E25" i="2"/>
  <c r="F25" i="2"/>
  <c r="H5" i="107"/>
  <c r="K11" i="4" s="1" a="1"/>
  <c r="K11" i="4" s="1"/>
  <c r="G25" i="2"/>
  <c r="H25" i="2"/>
  <c r="I25" i="2"/>
  <c r="D33" i="2"/>
  <c r="E6" i="107"/>
  <c r="H12" i="4"/>
  <c r="E33" i="2"/>
  <c r="F33" i="2"/>
  <c r="G33" i="2"/>
  <c r="H33" i="2"/>
  <c r="K6" i="107"/>
  <c r="N12" i="4"/>
  <c r="I33" i="2"/>
  <c r="D41" i="2"/>
  <c r="E41" i="2"/>
  <c r="F41" i="2"/>
  <c r="H7" i="107"/>
  <c r="K13" i="4" a="1"/>
  <c r="K13" i="4" s="1"/>
  <c r="G41" i="2"/>
  <c r="H41" i="2"/>
  <c r="I41" i="2"/>
  <c r="D49" i="2"/>
  <c r="E8" i="107"/>
  <c r="H14" i="4" s="1"/>
  <c r="E49" i="2"/>
  <c r="F49" i="2"/>
  <c r="G49" i="2"/>
  <c r="H49" i="2"/>
  <c r="K8" i="107"/>
  <c r="N14" i="4" s="1"/>
  <c r="I49" i="2"/>
  <c r="D57" i="2"/>
  <c r="E57" i="2"/>
  <c r="F57" i="2"/>
  <c r="H9" i="107"/>
  <c r="K15" i="4" a="1"/>
  <c r="K15" i="4" s="1"/>
  <c r="G57" i="2"/>
  <c r="H57" i="2"/>
  <c r="I57" i="2"/>
  <c r="D65" i="2"/>
  <c r="E10" i="107"/>
  <c r="H16" i="4"/>
  <c r="E65" i="2"/>
  <c r="F65" i="2"/>
  <c r="G65" i="2"/>
  <c r="H65" i="2"/>
  <c r="K10" i="107"/>
  <c r="N16" i="4" s="1"/>
  <c r="I65" i="2"/>
  <c r="D73" i="2"/>
  <c r="E73" i="2"/>
  <c r="F73" i="2"/>
  <c r="H11" i="107"/>
  <c r="K17" i="4" a="1"/>
  <c r="K17" i="4"/>
  <c r="G73" i="2"/>
  <c r="H73" i="2"/>
  <c r="I73" i="2"/>
  <c r="D81" i="2"/>
  <c r="E12" i="107"/>
  <c r="H18" i="4" s="1"/>
  <c r="E81" i="2"/>
  <c r="F81" i="2"/>
  <c r="G81" i="2"/>
  <c r="H81" i="2"/>
  <c r="K12" i="107"/>
  <c r="N18" i="4"/>
  <c r="I81" i="2"/>
  <c r="D89" i="2"/>
  <c r="E89" i="2"/>
  <c r="F89" i="2"/>
  <c r="H13" i="107"/>
  <c r="K19" i="4" s="1" a="1"/>
  <c r="K19" i="4" s="1"/>
  <c r="G89" i="2"/>
  <c r="H89" i="2"/>
  <c r="I89" i="2"/>
  <c r="D97" i="2"/>
  <c r="E14" i="107"/>
  <c r="H20" i="4"/>
  <c r="E97" i="2"/>
  <c r="F97" i="2"/>
  <c r="G97" i="2"/>
  <c r="H97" i="2"/>
  <c r="K14" i="107"/>
  <c r="N20" i="4"/>
  <c r="I97" i="2"/>
  <c r="D105" i="2"/>
  <c r="E105" i="2"/>
  <c r="F105" i="2"/>
  <c r="H15" i="107"/>
  <c r="K21" i="4" a="1"/>
  <c r="K21" i="4" s="1"/>
  <c r="G105" i="2"/>
  <c r="H105" i="2"/>
  <c r="I105" i="2"/>
  <c r="D113" i="2"/>
  <c r="E16" i="107"/>
  <c r="H22" i="4" s="1"/>
  <c r="E113" i="2"/>
  <c r="F113" i="2"/>
  <c r="G113" i="2"/>
  <c r="H113" i="2"/>
  <c r="K16" i="107"/>
  <c r="N22" i="4" s="1"/>
  <c r="I113" i="2"/>
  <c r="D121" i="2"/>
  <c r="E121" i="2"/>
  <c r="F121" i="2"/>
  <c r="H17" i="107"/>
  <c r="K23" i="4" a="1"/>
  <c r="K23" i="4" s="1"/>
  <c r="G121" i="2"/>
  <c r="H121" i="2"/>
  <c r="I121" i="2"/>
  <c r="D129" i="2"/>
  <c r="E18" i="107"/>
  <c r="H24" i="4"/>
  <c r="E129" i="2"/>
  <c r="F129" i="2"/>
  <c r="G129" i="2"/>
  <c r="H129" i="2"/>
  <c r="K18" i="107"/>
  <c r="N24" i="4" s="1"/>
  <c r="I129" i="2"/>
  <c r="D137" i="2"/>
  <c r="E137" i="2"/>
  <c r="F137" i="2"/>
  <c r="H19" i="107"/>
  <c r="K25" i="4" a="1"/>
  <c r="K25" i="4"/>
  <c r="G137" i="2"/>
  <c r="H137" i="2"/>
  <c r="I137" i="2"/>
  <c r="D145" i="2"/>
  <c r="E20" i="107"/>
  <c r="H26" i="4" s="1"/>
  <c r="E145" i="2"/>
  <c r="F145" i="2"/>
  <c r="G145" i="2"/>
  <c r="H145" i="2"/>
  <c r="K20" i="107"/>
  <c r="N26" i="4"/>
  <c r="I145" i="2"/>
  <c r="D153" i="2"/>
  <c r="E153" i="2"/>
  <c r="F153" i="2"/>
  <c r="H21" i="107"/>
  <c r="K27" i="4" s="1" a="1"/>
  <c r="K27" i="4" s="1"/>
  <c r="G153" i="2"/>
  <c r="H153" i="2"/>
  <c r="I153" i="2"/>
  <c r="I17" i="2"/>
  <c r="L4" i="107"/>
  <c r="O10" i="4"/>
  <c r="H17" i="2"/>
  <c r="K4" i="107"/>
  <c r="N10" i="4" s="1"/>
  <c r="I9" i="2"/>
  <c r="H9" i="2"/>
  <c r="G17" i="2"/>
  <c r="J4" i="107"/>
  <c r="M10" i="4"/>
  <c r="G9" i="2"/>
  <c r="J3" i="107"/>
  <c r="M9" i="4" s="1"/>
  <c r="D9" i="2"/>
  <c r="E3" i="107"/>
  <c r="H9" i="4"/>
  <c r="D17" i="2"/>
  <c r="I3" i="108"/>
  <c r="K11" i="5" s="1"/>
  <c r="J3" i="108"/>
  <c r="J11" i="6"/>
  <c r="F17" i="2"/>
  <c r="H4" i="107"/>
  <c r="K10" i="4" a="1"/>
  <c r="K10" i="4"/>
  <c r="E17" i="2"/>
  <c r="C17" i="2"/>
  <c r="J113" i="6"/>
  <c r="J111" i="6"/>
  <c r="J97" i="6"/>
  <c r="J95" i="6"/>
  <c r="J91" i="6"/>
  <c r="J89" i="6"/>
  <c r="J87" i="6"/>
  <c r="J83" i="6"/>
  <c r="J81" i="6"/>
  <c r="J79" i="6"/>
  <c r="J77" i="6"/>
  <c r="J76" i="6"/>
  <c r="J75" i="6"/>
  <c r="J74" i="6"/>
  <c r="J73" i="6"/>
  <c r="J72" i="6"/>
  <c r="J71" i="6"/>
  <c r="J69" i="6"/>
  <c r="J67" i="6"/>
  <c r="J66" i="6"/>
  <c r="J65" i="6"/>
  <c r="J63" i="6"/>
  <c r="J62" i="6"/>
  <c r="J61" i="6"/>
  <c r="J59" i="6"/>
  <c r="J57" i="6"/>
  <c r="J55" i="6"/>
  <c r="J54" i="6"/>
  <c r="J53" i="6"/>
  <c r="J51" i="6"/>
  <c r="J50" i="6"/>
  <c r="J49" i="6"/>
  <c r="J46" i="6"/>
  <c r="J45" i="6"/>
  <c r="J43" i="6"/>
  <c r="J42" i="6"/>
  <c r="J41" i="6"/>
  <c r="J39" i="6"/>
  <c r="J37" i="6"/>
  <c r="J34" i="6"/>
  <c r="J31" i="6"/>
  <c r="J30" i="6"/>
  <c r="J28" i="6"/>
  <c r="J27" i="6"/>
  <c r="J26" i="6"/>
  <c r="J24" i="6"/>
  <c r="J23" i="6"/>
  <c r="J22" i="6"/>
  <c r="J21" i="6"/>
  <c r="J20" i="6"/>
  <c r="J18" i="6"/>
  <c r="J17" i="6"/>
  <c r="J13" i="6"/>
  <c r="L10" i="6"/>
  <c r="K10" i="6"/>
  <c r="J10" i="6"/>
  <c r="I10" i="6"/>
  <c r="H10" i="6"/>
  <c r="G10" i="6"/>
  <c r="F10" i="6"/>
  <c r="E10" i="6"/>
  <c r="D10" i="6"/>
  <c r="C10" i="6"/>
  <c r="B10" i="6"/>
  <c r="A10" i="6"/>
  <c r="J9" i="6"/>
  <c r="H9" i="6"/>
  <c r="C9" i="6"/>
  <c r="J3" i="6"/>
  <c r="F7" i="6"/>
  <c r="F6" i="6"/>
  <c r="F5" i="6"/>
  <c r="F4" i="6"/>
  <c r="F3" i="6"/>
  <c r="C3" i="6"/>
  <c r="C4" i="6"/>
  <c r="C5" i="6"/>
  <c r="C6" i="6"/>
  <c r="R11" i="5"/>
  <c r="R12" i="5"/>
  <c r="R13" i="5"/>
  <c r="R14" i="5"/>
  <c r="R15" i="5"/>
  <c r="R16" i="5"/>
  <c r="R17" i="5"/>
  <c r="R18" i="5"/>
  <c r="R19" i="5"/>
  <c r="R20" i="5"/>
  <c r="R21" i="5"/>
  <c r="R22" i="5"/>
  <c r="R23" i="5"/>
  <c r="R24" i="5"/>
  <c r="R25" i="5"/>
  <c r="R26" i="5"/>
  <c r="R27" i="5"/>
  <c r="R28" i="5"/>
  <c r="R29" i="5"/>
  <c r="R30" i="5"/>
  <c r="R31" i="5"/>
  <c r="R32" i="5"/>
  <c r="R33" i="5"/>
  <c r="R34" i="5"/>
  <c r="R35" i="5"/>
  <c r="R36" i="5"/>
  <c r="R37" i="5"/>
  <c r="R38" i="5"/>
  <c r="R39" i="5"/>
  <c r="R40" i="5"/>
  <c r="R41" i="5"/>
  <c r="R42" i="5"/>
  <c r="R43" i="5"/>
  <c r="R44" i="5"/>
  <c r="R45" i="5"/>
  <c r="R46" i="5"/>
  <c r="R47" i="5"/>
  <c r="R48" i="5"/>
  <c r="R49" i="5"/>
  <c r="R50" i="5"/>
  <c r="R51" i="5"/>
  <c r="R52" i="5"/>
  <c r="R53" i="5"/>
  <c r="R54" i="5"/>
  <c r="R55" i="5"/>
  <c r="R56" i="5"/>
  <c r="R57" i="5"/>
  <c r="R58" i="5"/>
  <c r="R59" i="5"/>
  <c r="R60" i="5"/>
  <c r="R61" i="5"/>
  <c r="R62" i="5"/>
  <c r="R63" i="5"/>
  <c r="R64" i="5"/>
  <c r="R65" i="5"/>
  <c r="R66" i="5"/>
  <c r="R67" i="5"/>
  <c r="R68" i="5"/>
  <c r="R69" i="5"/>
  <c r="R70" i="5"/>
  <c r="R71" i="5"/>
  <c r="R72" i="5"/>
  <c r="R73" i="5"/>
  <c r="R74" i="5"/>
  <c r="R75" i="5"/>
  <c r="R76" i="5"/>
  <c r="R77" i="5"/>
  <c r="R78" i="5"/>
  <c r="R79" i="5"/>
  <c r="R80" i="5"/>
  <c r="R81" i="5"/>
  <c r="R82" i="5"/>
  <c r="R83" i="5"/>
  <c r="R84" i="5"/>
  <c r="R85" i="5"/>
  <c r="R86" i="5"/>
  <c r="R87" i="5"/>
  <c r="R88" i="5"/>
  <c r="R89" i="5"/>
  <c r="R90" i="5"/>
  <c r="R91" i="5"/>
  <c r="R92" i="5"/>
  <c r="R93" i="5"/>
  <c r="R94" i="5"/>
  <c r="R95" i="5"/>
  <c r="R96" i="5"/>
  <c r="R97" i="5"/>
  <c r="R98" i="5"/>
  <c r="R99" i="5"/>
  <c r="R100" i="5"/>
  <c r="R101" i="5"/>
  <c r="R102" i="5"/>
  <c r="R103" i="5"/>
  <c r="R104" i="5"/>
  <c r="R105" i="5"/>
  <c r="R106" i="5"/>
  <c r="R107" i="5"/>
  <c r="R108" i="5"/>
  <c r="R109" i="5"/>
  <c r="R110" i="5"/>
  <c r="R111" i="5"/>
  <c r="R112" i="5"/>
  <c r="R113" i="5"/>
  <c r="R114" i="5"/>
  <c r="R115" i="5"/>
  <c r="R116" i="5"/>
  <c r="U10" i="5"/>
  <c r="T10" i="5"/>
  <c r="S10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D10" i="5"/>
  <c r="C10" i="5"/>
  <c r="B10" i="5"/>
  <c r="A10" i="5"/>
  <c r="S9" i="5"/>
  <c r="O9" i="5"/>
  <c r="K9" i="5"/>
  <c r="H9" i="5"/>
  <c r="E9" i="5"/>
  <c r="B9" i="5"/>
  <c r="D4" i="5"/>
  <c r="D5" i="5"/>
  <c r="D6" i="5"/>
  <c r="D3" i="5"/>
  <c r="Q3" i="5"/>
  <c r="L7" i="5"/>
  <c r="L6" i="5"/>
  <c r="L5" i="5"/>
  <c r="L4" i="5"/>
  <c r="L3" i="5"/>
  <c r="A3" i="5"/>
  <c r="A4" i="5"/>
  <c r="A5" i="5"/>
  <c r="A6" i="5"/>
  <c r="H1" i="5"/>
  <c r="B1" i="5"/>
  <c r="M8" i="4"/>
  <c r="L8" i="4"/>
  <c r="K8" i="4"/>
  <c r="J8" i="4"/>
  <c r="I8" i="4"/>
  <c r="H8" i="4"/>
  <c r="E8" i="4"/>
  <c r="D8" i="4"/>
  <c r="C8" i="4"/>
  <c r="B8" i="4"/>
  <c r="A8" i="4"/>
  <c r="L3" i="4"/>
  <c r="L4" i="4"/>
  <c r="H5" i="4"/>
  <c r="H4" i="4"/>
  <c r="H3" i="4"/>
  <c r="C3" i="4"/>
  <c r="C4" i="4"/>
  <c r="C5" i="4"/>
  <c r="C6" i="4"/>
  <c r="A6" i="4"/>
  <c r="A5" i="4"/>
  <c r="A4" i="4"/>
  <c r="A3" i="4"/>
  <c r="P2" i="108"/>
  <c r="O2" i="108"/>
  <c r="N2" i="108"/>
  <c r="M2" i="108"/>
  <c r="L2" i="108"/>
  <c r="K2" i="108"/>
  <c r="J2" i="108"/>
  <c r="I2" i="108"/>
  <c r="H2" i="108"/>
  <c r="G2" i="108"/>
  <c r="F2" i="108"/>
  <c r="E2" i="108"/>
  <c r="D2" i="108"/>
  <c r="C2" i="108"/>
  <c r="B2" i="108"/>
  <c r="A2" i="108"/>
  <c r="M1" i="108"/>
  <c r="K1" i="108"/>
  <c r="E1" i="108"/>
  <c r="C1" i="108"/>
  <c r="L71" i="6"/>
  <c r="F68" i="6"/>
  <c r="F31" i="6"/>
  <c r="F13" i="6"/>
  <c r="A848" i="3"/>
  <c r="A849" i="3" s="1"/>
  <c r="A847" i="3"/>
  <c r="A846" i="3"/>
  <c r="A845" i="3"/>
  <c r="A844" i="3"/>
  <c r="A843" i="3"/>
  <c r="A842" i="3"/>
  <c r="A840" i="3"/>
  <c r="A841" i="3" s="1"/>
  <c r="A839" i="3"/>
  <c r="A838" i="3"/>
  <c r="A837" i="3"/>
  <c r="A836" i="3"/>
  <c r="A835" i="3"/>
  <c r="A834" i="3"/>
  <c r="A832" i="3"/>
  <c r="A833" i="3" s="1"/>
  <c r="A831" i="3"/>
  <c r="A830" i="3"/>
  <c r="A829" i="3"/>
  <c r="A828" i="3"/>
  <c r="A827" i="3"/>
  <c r="A826" i="3"/>
  <c r="A824" i="3"/>
  <c r="A825" i="3" s="1"/>
  <c r="A823" i="3"/>
  <c r="A822" i="3"/>
  <c r="A821" i="3"/>
  <c r="A820" i="3"/>
  <c r="A819" i="3"/>
  <c r="A818" i="3"/>
  <c r="A816" i="3"/>
  <c r="A817" i="3" s="1"/>
  <c r="A815" i="3"/>
  <c r="A814" i="3"/>
  <c r="A813" i="3"/>
  <c r="A812" i="3"/>
  <c r="A811" i="3"/>
  <c r="A810" i="3"/>
  <c r="A808" i="3"/>
  <c r="A809" i="3" s="1"/>
  <c r="A807" i="3"/>
  <c r="A806" i="3"/>
  <c r="A805" i="3"/>
  <c r="A804" i="3"/>
  <c r="A803" i="3"/>
  <c r="A802" i="3"/>
  <c r="A800" i="3"/>
  <c r="A801" i="3" s="1"/>
  <c r="A799" i="3"/>
  <c r="A798" i="3"/>
  <c r="A797" i="3"/>
  <c r="A796" i="3"/>
  <c r="A795" i="3"/>
  <c r="A794" i="3"/>
  <c r="A792" i="3"/>
  <c r="A793" i="3" s="1"/>
  <c r="A791" i="3"/>
  <c r="A790" i="3"/>
  <c r="A789" i="3"/>
  <c r="A788" i="3"/>
  <c r="A787" i="3"/>
  <c r="A786" i="3"/>
  <c r="A784" i="3"/>
  <c r="A785" i="3" s="1"/>
  <c r="A783" i="3"/>
  <c r="A782" i="3"/>
  <c r="A781" i="3"/>
  <c r="A780" i="3"/>
  <c r="A779" i="3"/>
  <c r="A778" i="3"/>
  <c r="A776" i="3"/>
  <c r="A777" i="3" s="1"/>
  <c r="A775" i="3"/>
  <c r="A774" i="3"/>
  <c r="A773" i="3"/>
  <c r="A772" i="3"/>
  <c r="A771" i="3"/>
  <c r="A770" i="3"/>
  <c r="A768" i="3"/>
  <c r="A769" i="3" s="1"/>
  <c r="A767" i="3"/>
  <c r="A766" i="3"/>
  <c r="A765" i="3"/>
  <c r="A764" i="3"/>
  <c r="A763" i="3"/>
  <c r="A762" i="3"/>
  <c r="A760" i="3"/>
  <c r="A761" i="3" s="1"/>
  <c r="A759" i="3"/>
  <c r="A758" i="3"/>
  <c r="A757" i="3"/>
  <c r="A756" i="3"/>
  <c r="A755" i="3"/>
  <c r="A754" i="3"/>
  <c r="A752" i="3"/>
  <c r="A753" i="3" s="1"/>
  <c r="A751" i="3"/>
  <c r="A750" i="3"/>
  <c r="A749" i="3"/>
  <c r="A748" i="3"/>
  <c r="A747" i="3"/>
  <c r="A746" i="3"/>
  <c r="A744" i="3"/>
  <c r="A745" i="3" s="1"/>
  <c r="A743" i="3"/>
  <c r="A742" i="3"/>
  <c r="A741" i="3"/>
  <c r="A740" i="3"/>
  <c r="A739" i="3"/>
  <c r="A738" i="3"/>
  <c r="A736" i="3"/>
  <c r="A737" i="3" s="1"/>
  <c r="A735" i="3"/>
  <c r="A734" i="3"/>
  <c r="A733" i="3"/>
  <c r="A732" i="3"/>
  <c r="A731" i="3"/>
  <c r="A730" i="3"/>
  <c r="A728" i="3"/>
  <c r="A729" i="3" s="1"/>
  <c r="A727" i="3"/>
  <c r="A726" i="3"/>
  <c r="A725" i="3"/>
  <c r="A724" i="3"/>
  <c r="A723" i="3"/>
  <c r="A722" i="3"/>
  <c r="A720" i="3"/>
  <c r="A721" i="3" s="1"/>
  <c r="A719" i="3"/>
  <c r="A718" i="3"/>
  <c r="A717" i="3"/>
  <c r="A716" i="3"/>
  <c r="A715" i="3"/>
  <c r="A714" i="3"/>
  <c r="A712" i="3"/>
  <c r="A713" i="3" s="1"/>
  <c r="A711" i="3"/>
  <c r="A710" i="3"/>
  <c r="A709" i="3"/>
  <c r="A708" i="3"/>
  <c r="A707" i="3"/>
  <c r="A706" i="3"/>
  <c r="A704" i="3"/>
  <c r="A705" i="3" s="1"/>
  <c r="A703" i="3"/>
  <c r="A702" i="3"/>
  <c r="A701" i="3"/>
  <c r="A700" i="3"/>
  <c r="A699" i="3"/>
  <c r="A698" i="3"/>
  <c r="A696" i="3"/>
  <c r="A697" i="3" s="1"/>
  <c r="A695" i="3"/>
  <c r="A694" i="3"/>
  <c r="A693" i="3"/>
  <c r="A692" i="3"/>
  <c r="A691" i="3"/>
  <c r="A690" i="3"/>
  <c r="A688" i="3"/>
  <c r="A689" i="3" s="1"/>
  <c r="A687" i="3"/>
  <c r="A686" i="3"/>
  <c r="A685" i="3"/>
  <c r="A684" i="3"/>
  <c r="A683" i="3"/>
  <c r="A682" i="3"/>
  <c r="A680" i="3"/>
  <c r="A681" i="3" s="1"/>
  <c r="A679" i="3"/>
  <c r="A678" i="3"/>
  <c r="A677" i="3"/>
  <c r="A676" i="3"/>
  <c r="A675" i="3"/>
  <c r="A674" i="3"/>
  <c r="A672" i="3"/>
  <c r="A673" i="3" s="1"/>
  <c r="A671" i="3"/>
  <c r="A670" i="3"/>
  <c r="A669" i="3"/>
  <c r="A668" i="3"/>
  <c r="A667" i="3"/>
  <c r="A666" i="3"/>
  <c r="A664" i="3"/>
  <c r="A665" i="3" s="1"/>
  <c r="A663" i="3"/>
  <c r="A662" i="3"/>
  <c r="A661" i="3"/>
  <c r="A660" i="3"/>
  <c r="A659" i="3"/>
  <c r="A658" i="3"/>
  <c r="A656" i="3"/>
  <c r="A657" i="3" s="1"/>
  <c r="A655" i="3"/>
  <c r="A654" i="3"/>
  <c r="A653" i="3"/>
  <c r="A652" i="3"/>
  <c r="A651" i="3"/>
  <c r="A650" i="3"/>
  <c r="A648" i="3"/>
  <c r="A649" i="3" s="1"/>
  <c r="A647" i="3"/>
  <c r="A646" i="3"/>
  <c r="A645" i="3"/>
  <c r="A644" i="3"/>
  <c r="A643" i="3"/>
  <c r="A642" i="3"/>
  <c r="A640" i="3"/>
  <c r="A641" i="3" s="1"/>
  <c r="A639" i="3"/>
  <c r="A638" i="3"/>
  <c r="A637" i="3"/>
  <c r="A636" i="3"/>
  <c r="A635" i="3"/>
  <c r="A634" i="3"/>
  <c r="A632" i="3"/>
  <c r="A633" i="3" s="1"/>
  <c r="A631" i="3"/>
  <c r="A630" i="3"/>
  <c r="A629" i="3"/>
  <c r="A628" i="3"/>
  <c r="A627" i="3"/>
  <c r="A626" i="3"/>
  <c r="A624" i="3"/>
  <c r="A625" i="3" s="1"/>
  <c r="A623" i="3"/>
  <c r="A622" i="3"/>
  <c r="A621" i="3"/>
  <c r="A620" i="3"/>
  <c r="A619" i="3"/>
  <c r="A618" i="3"/>
  <c r="A616" i="3"/>
  <c r="A617" i="3" s="1"/>
  <c r="A615" i="3"/>
  <c r="A614" i="3"/>
  <c r="A613" i="3"/>
  <c r="A612" i="3"/>
  <c r="A611" i="3"/>
  <c r="A610" i="3"/>
  <c r="A608" i="3"/>
  <c r="A609" i="3" s="1"/>
  <c r="A607" i="3"/>
  <c r="A606" i="3"/>
  <c r="A605" i="3"/>
  <c r="A604" i="3"/>
  <c r="A603" i="3"/>
  <c r="A602" i="3"/>
  <c r="A600" i="3"/>
  <c r="A601" i="3" s="1"/>
  <c r="A599" i="3"/>
  <c r="A598" i="3"/>
  <c r="A597" i="3"/>
  <c r="A596" i="3"/>
  <c r="A595" i="3"/>
  <c r="A594" i="3"/>
  <c r="A592" i="3"/>
  <c r="A593" i="3" s="1"/>
  <c r="A591" i="3"/>
  <c r="A590" i="3"/>
  <c r="A589" i="3"/>
  <c r="A588" i="3"/>
  <c r="A587" i="3"/>
  <c r="A586" i="3"/>
  <c r="A584" i="3"/>
  <c r="A585" i="3" s="1"/>
  <c r="A583" i="3"/>
  <c r="A582" i="3"/>
  <c r="A581" i="3"/>
  <c r="A580" i="3"/>
  <c r="A579" i="3"/>
  <c r="A578" i="3"/>
  <c r="A576" i="3"/>
  <c r="A577" i="3" s="1"/>
  <c r="A575" i="3"/>
  <c r="A574" i="3"/>
  <c r="A573" i="3"/>
  <c r="A572" i="3"/>
  <c r="A571" i="3"/>
  <c r="A570" i="3"/>
  <c r="A568" i="3"/>
  <c r="A569" i="3" s="1"/>
  <c r="A567" i="3"/>
  <c r="A566" i="3"/>
  <c r="A565" i="3"/>
  <c r="A564" i="3"/>
  <c r="A563" i="3"/>
  <c r="A562" i="3"/>
  <c r="A560" i="3"/>
  <c r="A561" i="3" s="1"/>
  <c r="A559" i="3"/>
  <c r="A558" i="3"/>
  <c r="A557" i="3"/>
  <c r="A556" i="3"/>
  <c r="A555" i="3"/>
  <c r="A554" i="3"/>
  <c r="A552" i="3"/>
  <c r="A553" i="3" s="1"/>
  <c r="A551" i="3"/>
  <c r="A550" i="3"/>
  <c r="A549" i="3"/>
  <c r="A548" i="3"/>
  <c r="A547" i="3"/>
  <c r="A546" i="3"/>
  <c r="A544" i="3"/>
  <c r="A545" i="3" s="1"/>
  <c r="A543" i="3"/>
  <c r="A542" i="3"/>
  <c r="A541" i="3"/>
  <c r="A540" i="3"/>
  <c r="A539" i="3"/>
  <c r="A538" i="3"/>
  <c r="A536" i="3"/>
  <c r="A537" i="3" s="1"/>
  <c r="A535" i="3"/>
  <c r="A534" i="3"/>
  <c r="A533" i="3"/>
  <c r="A532" i="3"/>
  <c r="A531" i="3"/>
  <c r="A530" i="3"/>
  <c r="A528" i="3"/>
  <c r="A529" i="3" s="1"/>
  <c r="A527" i="3"/>
  <c r="A526" i="3"/>
  <c r="A525" i="3"/>
  <c r="A524" i="3"/>
  <c r="A523" i="3"/>
  <c r="A522" i="3"/>
  <c r="A520" i="3"/>
  <c r="A521" i="3" s="1"/>
  <c r="A519" i="3"/>
  <c r="A518" i="3"/>
  <c r="A517" i="3"/>
  <c r="A516" i="3"/>
  <c r="A515" i="3"/>
  <c r="A514" i="3"/>
  <c r="A512" i="3"/>
  <c r="A513" i="3" s="1"/>
  <c r="A511" i="3"/>
  <c r="A510" i="3"/>
  <c r="A509" i="3"/>
  <c r="A508" i="3"/>
  <c r="A507" i="3"/>
  <c r="A506" i="3"/>
  <c r="A504" i="3"/>
  <c r="A505" i="3" s="1"/>
  <c r="A503" i="3"/>
  <c r="A502" i="3"/>
  <c r="A501" i="3"/>
  <c r="A500" i="3"/>
  <c r="A499" i="3"/>
  <c r="A498" i="3"/>
  <c r="A496" i="3"/>
  <c r="A497" i="3" s="1"/>
  <c r="A495" i="3"/>
  <c r="A494" i="3"/>
  <c r="A493" i="3"/>
  <c r="A492" i="3"/>
  <c r="A491" i="3"/>
  <c r="A490" i="3"/>
  <c r="A488" i="3"/>
  <c r="A489" i="3" s="1"/>
  <c r="A487" i="3"/>
  <c r="A486" i="3"/>
  <c r="A485" i="3"/>
  <c r="A484" i="3"/>
  <c r="A483" i="3"/>
  <c r="A482" i="3"/>
  <c r="A480" i="3"/>
  <c r="A481" i="3" s="1"/>
  <c r="A479" i="3"/>
  <c r="A478" i="3"/>
  <c r="A477" i="3"/>
  <c r="A476" i="3"/>
  <c r="A475" i="3"/>
  <c r="A474" i="3"/>
  <c r="A472" i="3"/>
  <c r="A473" i="3" s="1"/>
  <c r="A471" i="3"/>
  <c r="A470" i="3"/>
  <c r="A469" i="3"/>
  <c r="A468" i="3"/>
  <c r="A467" i="3"/>
  <c r="A466" i="3"/>
  <c r="A464" i="3"/>
  <c r="A465" i="3" s="1"/>
  <c r="A463" i="3"/>
  <c r="A462" i="3"/>
  <c r="A461" i="3"/>
  <c r="A460" i="3"/>
  <c r="A459" i="3"/>
  <c r="A458" i="3"/>
  <c r="A456" i="3"/>
  <c r="A457" i="3" s="1"/>
  <c r="A455" i="3"/>
  <c r="A454" i="3"/>
  <c r="A453" i="3"/>
  <c r="A452" i="3"/>
  <c r="A451" i="3"/>
  <c r="A450" i="3"/>
  <c r="A448" i="3"/>
  <c r="A449" i="3" s="1"/>
  <c r="A447" i="3"/>
  <c r="A446" i="3"/>
  <c r="A445" i="3"/>
  <c r="A444" i="3"/>
  <c r="A443" i="3"/>
  <c r="A442" i="3"/>
  <c r="A440" i="3"/>
  <c r="A441" i="3" s="1"/>
  <c r="A439" i="3"/>
  <c r="A438" i="3"/>
  <c r="A437" i="3"/>
  <c r="A436" i="3"/>
  <c r="A435" i="3"/>
  <c r="A434" i="3"/>
  <c r="A432" i="3"/>
  <c r="A433" i="3" s="1"/>
  <c r="A431" i="3"/>
  <c r="A430" i="3"/>
  <c r="A429" i="3"/>
  <c r="A428" i="3"/>
  <c r="A427" i="3"/>
  <c r="A426" i="3"/>
  <c r="A424" i="3"/>
  <c r="A425" i="3" s="1"/>
  <c r="A423" i="3"/>
  <c r="A422" i="3"/>
  <c r="A421" i="3"/>
  <c r="A420" i="3"/>
  <c r="A419" i="3"/>
  <c r="A418" i="3"/>
  <c r="A416" i="3"/>
  <c r="A417" i="3" s="1"/>
  <c r="A415" i="3"/>
  <c r="A414" i="3"/>
  <c r="A413" i="3"/>
  <c r="A412" i="3"/>
  <c r="A411" i="3"/>
  <c r="A410" i="3"/>
  <c r="A408" i="3"/>
  <c r="A409" i="3" s="1"/>
  <c r="A407" i="3"/>
  <c r="A406" i="3"/>
  <c r="A405" i="3"/>
  <c r="A404" i="3"/>
  <c r="A403" i="3"/>
  <c r="A402" i="3"/>
  <c r="A400" i="3"/>
  <c r="A401" i="3" s="1"/>
  <c r="A399" i="3"/>
  <c r="A398" i="3"/>
  <c r="A397" i="3"/>
  <c r="A396" i="3"/>
  <c r="A395" i="3"/>
  <c r="A394" i="3"/>
  <c r="A392" i="3"/>
  <c r="A393" i="3" s="1"/>
  <c r="A391" i="3"/>
  <c r="A390" i="3"/>
  <c r="A389" i="3"/>
  <c r="A388" i="3"/>
  <c r="A387" i="3"/>
  <c r="A386" i="3"/>
  <c r="A384" i="3"/>
  <c r="A385" i="3" s="1"/>
  <c r="A383" i="3"/>
  <c r="A382" i="3"/>
  <c r="A381" i="3"/>
  <c r="A380" i="3"/>
  <c r="A379" i="3"/>
  <c r="A378" i="3"/>
  <c r="A376" i="3"/>
  <c r="A377" i="3" s="1"/>
  <c r="A375" i="3"/>
  <c r="A374" i="3"/>
  <c r="A373" i="3"/>
  <c r="A372" i="3"/>
  <c r="A371" i="3"/>
  <c r="A370" i="3"/>
  <c r="A368" i="3"/>
  <c r="A369" i="3" s="1"/>
  <c r="A367" i="3"/>
  <c r="A366" i="3"/>
  <c r="A365" i="3"/>
  <c r="A364" i="3"/>
  <c r="A363" i="3"/>
  <c r="A362" i="3"/>
  <c r="A360" i="3"/>
  <c r="A361" i="3" s="1"/>
  <c r="A359" i="3"/>
  <c r="A358" i="3"/>
  <c r="A357" i="3"/>
  <c r="A356" i="3"/>
  <c r="A355" i="3"/>
  <c r="A354" i="3"/>
  <c r="A352" i="3"/>
  <c r="A353" i="3" s="1"/>
  <c r="A351" i="3"/>
  <c r="A350" i="3"/>
  <c r="A349" i="3"/>
  <c r="A348" i="3"/>
  <c r="A347" i="3"/>
  <c r="A346" i="3"/>
  <c r="A344" i="3"/>
  <c r="A345" i="3" s="1"/>
  <c r="A343" i="3"/>
  <c r="A342" i="3"/>
  <c r="A341" i="3"/>
  <c r="A340" i="3"/>
  <c r="A339" i="3"/>
  <c r="A338" i="3"/>
  <c r="A336" i="3"/>
  <c r="A337" i="3" s="1"/>
  <c r="A335" i="3"/>
  <c r="A334" i="3"/>
  <c r="A333" i="3"/>
  <c r="A332" i="3"/>
  <c r="A331" i="3"/>
  <c r="A330" i="3"/>
  <c r="A328" i="3"/>
  <c r="A329" i="3" s="1"/>
  <c r="A327" i="3"/>
  <c r="A326" i="3"/>
  <c r="A325" i="3"/>
  <c r="A324" i="3"/>
  <c r="A323" i="3"/>
  <c r="A322" i="3"/>
  <c r="A320" i="3"/>
  <c r="A321" i="3" s="1"/>
  <c r="A319" i="3"/>
  <c r="A318" i="3"/>
  <c r="A317" i="3"/>
  <c r="A316" i="3"/>
  <c r="A315" i="3"/>
  <c r="A314" i="3"/>
  <c r="A312" i="3"/>
  <c r="A313" i="3" s="1"/>
  <c r="A311" i="3"/>
  <c r="A310" i="3"/>
  <c r="A309" i="3"/>
  <c r="A308" i="3"/>
  <c r="A307" i="3"/>
  <c r="A306" i="3"/>
  <c r="A304" i="3"/>
  <c r="A305" i="3" s="1"/>
  <c r="A303" i="3"/>
  <c r="A302" i="3"/>
  <c r="A301" i="3"/>
  <c r="A300" i="3"/>
  <c r="A299" i="3"/>
  <c r="A298" i="3"/>
  <c r="A296" i="3"/>
  <c r="A297" i="3" s="1"/>
  <c r="A295" i="3"/>
  <c r="A294" i="3"/>
  <c r="A293" i="3"/>
  <c r="A292" i="3"/>
  <c r="A291" i="3"/>
  <c r="A290" i="3"/>
  <c r="A288" i="3"/>
  <c r="A289" i="3" s="1"/>
  <c r="A287" i="3"/>
  <c r="A286" i="3"/>
  <c r="A285" i="3"/>
  <c r="A284" i="3"/>
  <c r="A283" i="3"/>
  <c r="A282" i="3"/>
  <c r="A280" i="3"/>
  <c r="A281" i="3" s="1"/>
  <c r="A279" i="3"/>
  <c r="A278" i="3"/>
  <c r="A277" i="3"/>
  <c r="A276" i="3"/>
  <c r="A275" i="3"/>
  <c r="A274" i="3"/>
  <c r="A272" i="3"/>
  <c r="A273" i="3" s="1"/>
  <c r="A271" i="3"/>
  <c r="A270" i="3"/>
  <c r="A269" i="3"/>
  <c r="A268" i="3"/>
  <c r="A267" i="3"/>
  <c r="A266" i="3"/>
  <c r="A264" i="3"/>
  <c r="A265" i="3" s="1"/>
  <c r="A263" i="3"/>
  <c r="A262" i="3"/>
  <c r="A261" i="3"/>
  <c r="A260" i="3"/>
  <c r="A259" i="3"/>
  <c r="A258" i="3"/>
  <c r="A256" i="3"/>
  <c r="A257" i="3" s="1"/>
  <c r="A255" i="3"/>
  <c r="A254" i="3"/>
  <c r="A253" i="3"/>
  <c r="A252" i="3"/>
  <c r="A251" i="3"/>
  <c r="A250" i="3"/>
  <c r="A248" i="3"/>
  <c r="A249" i="3" s="1"/>
  <c r="A247" i="3"/>
  <c r="A246" i="3"/>
  <c r="A245" i="3"/>
  <c r="A244" i="3"/>
  <c r="A243" i="3"/>
  <c r="A242" i="3"/>
  <c r="A240" i="3"/>
  <c r="A241" i="3" s="1"/>
  <c r="A239" i="3"/>
  <c r="A238" i="3"/>
  <c r="A237" i="3"/>
  <c r="A236" i="3"/>
  <c r="A235" i="3"/>
  <c r="A234" i="3"/>
  <c r="A232" i="3"/>
  <c r="A233" i="3" s="1"/>
  <c r="A231" i="3"/>
  <c r="A230" i="3"/>
  <c r="A229" i="3"/>
  <c r="A228" i="3"/>
  <c r="A227" i="3"/>
  <c r="A226" i="3"/>
  <c r="A224" i="3"/>
  <c r="A225" i="3" s="1"/>
  <c r="A223" i="3"/>
  <c r="A222" i="3"/>
  <c r="A221" i="3"/>
  <c r="A220" i="3"/>
  <c r="A219" i="3"/>
  <c r="A218" i="3"/>
  <c r="A216" i="3"/>
  <c r="A217" i="3" s="1"/>
  <c r="A215" i="3"/>
  <c r="A214" i="3"/>
  <c r="A213" i="3"/>
  <c r="A212" i="3"/>
  <c r="A211" i="3"/>
  <c r="A210" i="3"/>
  <c r="A208" i="3"/>
  <c r="A209" i="3" s="1"/>
  <c r="A207" i="3"/>
  <c r="A206" i="3"/>
  <c r="A205" i="3"/>
  <c r="A204" i="3"/>
  <c r="A203" i="3"/>
  <c r="A202" i="3"/>
  <c r="A200" i="3"/>
  <c r="A201" i="3" s="1"/>
  <c r="A199" i="3"/>
  <c r="A198" i="3"/>
  <c r="A197" i="3"/>
  <c r="A196" i="3"/>
  <c r="A195" i="3"/>
  <c r="A194" i="3"/>
  <c r="A192" i="3"/>
  <c r="A193" i="3" s="1"/>
  <c r="A191" i="3"/>
  <c r="A190" i="3"/>
  <c r="A189" i="3"/>
  <c r="A188" i="3"/>
  <c r="A187" i="3"/>
  <c r="A186" i="3"/>
  <c r="A184" i="3"/>
  <c r="A185" i="3" s="1"/>
  <c r="A183" i="3"/>
  <c r="A182" i="3"/>
  <c r="A181" i="3"/>
  <c r="A180" i="3"/>
  <c r="A179" i="3"/>
  <c r="A178" i="3"/>
  <c r="A176" i="3"/>
  <c r="A177" i="3" s="1"/>
  <c r="A175" i="3"/>
  <c r="A174" i="3"/>
  <c r="A173" i="3"/>
  <c r="A172" i="3"/>
  <c r="A171" i="3"/>
  <c r="A170" i="3"/>
  <c r="A168" i="3"/>
  <c r="A169" i="3" s="1"/>
  <c r="A167" i="3"/>
  <c r="A166" i="3"/>
  <c r="A165" i="3"/>
  <c r="A164" i="3"/>
  <c r="A163" i="3"/>
  <c r="A162" i="3"/>
  <c r="A160" i="3"/>
  <c r="A161" i="3" s="1"/>
  <c r="A159" i="3"/>
  <c r="A158" i="3"/>
  <c r="A157" i="3"/>
  <c r="A156" i="3"/>
  <c r="A155" i="3"/>
  <c r="A154" i="3"/>
  <c r="A152" i="3"/>
  <c r="A153" i="3" s="1"/>
  <c r="A151" i="3"/>
  <c r="A150" i="3"/>
  <c r="A149" i="3"/>
  <c r="A148" i="3"/>
  <c r="A147" i="3"/>
  <c r="A146" i="3"/>
  <c r="A144" i="3"/>
  <c r="A145" i="3" s="1"/>
  <c r="A143" i="3"/>
  <c r="A142" i="3"/>
  <c r="A141" i="3"/>
  <c r="A140" i="3"/>
  <c r="A139" i="3"/>
  <c r="A138" i="3"/>
  <c r="A136" i="3"/>
  <c r="A137" i="3" s="1"/>
  <c r="A135" i="3"/>
  <c r="A134" i="3"/>
  <c r="A133" i="3"/>
  <c r="A132" i="3"/>
  <c r="A131" i="3"/>
  <c r="A130" i="3"/>
  <c r="A128" i="3"/>
  <c r="A129" i="3" s="1"/>
  <c r="A127" i="3"/>
  <c r="A126" i="3"/>
  <c r="A125" i="3"/>
  <c r="A124" i="3"/>
  <c r="A123" i="3"/>
  <c r="A122" i="3"/>
  <c r="A120" i="3"/>
  <c r="A121" i="3" s="1"/>
  <c r="A119" i="3"/>
  <c r="A118" i="3"/>
  <c r="A117" i="3"/>
  <c r="A116" i="3"/>
  <c r="A115" i="3"/>
  <c r="A114" i="3"/>
  <c r="A112" i="3"/>
  <c r="A113" i="3" s="1"/>
  <c r="A111" i="3"/>
  <c r="A110" i="3"/>
  <c r="A109" i="3"/>
  <c r="A108" i="3"/>
  <c r="A107" i="3"/>
  <c r="A106" i="3"/>
  <c r="A104" i="3"/>
  <c r="A105" i="3" s="1"/>
  <c r="A103" i="3"/>
  <c r="A102" i="3"/>
  <c r="A101" i="3"/>
  <c r="A100" i="3"/>
  <c r="A99" i="3"/>
  <c r="A98" i="3"/>
  <c r="A96" i="3"/>
  <c r="A97" i="3" s="1"/>
  <c r="A95" i="3"/>
  <c r="A94" i="3"/>
  <c r="A93" i="3"/>
  <c r="A92" i="3"/>
  <c r="A91" i="3"/>
  <c r="A90" i="3"/>
  <c r="A88" i="3"/>
  <c r="A89" i="3" s="1"/>
  <c r="A87" i="3"/>
  <c r="A86" i="3"/>
  <c r="A85" i="3"/>
  <c r="A84" i="3"/>
  <c r="A83" i="3"/>
  <c r="A82" i="3"/>
  <c r="A80" i="3"/>
  <c r="A81" i="3" s="1"/>
  <c r="A79" i="3"/>
  <c r="A78" i="3"/>
  <c r="A77" i="3"/>
  <c r="A76" i="3"/>
  <c r="A75" i="3"/>
  <c r="A74" i="3"/>
  <c r="A72" i="3"/>
  <c r="A73" i="3" s="1"/>
  <c r="A71" i="3"/>
  <c r="A70" i="3"/>
  <c r="A69" i="3"/>
  <c r="A68" i="3"/>
  <c r="A67" i="3"/>
  <c r="A66" i="3"/>
  <c r="A64" i="3"/>
  <c r="A65" i="3" s="1"/>
  <c r="A63" i="3"/>
  <c r="A62" i="3"/>
  <c r="A61" i="3"/>
  <c r="A60" i="3"/>
  <c r="A59" i="3"/>
  <c r="A58" i="3"/>
  <c r="A56" i="3"/>
  <c r="A57" i="3" s="1"/>
  <c r="A55" i="3"/>
  <c r="A54" i="3"/>
  <c r="A53" i="3"/>
  <c r="A52" i="3"/>
  <c r="A51" i="3"/>
  <c r="A50" i="3"/>
  <c r="A48" i="3"/>
  <c r="A49" i="3" s="1"/>
  <c r="A47" i="3"/>
  <c r="A46" i="3"/>
  <c r="A45" i="3"/>
  <c r="A44" i="3"/>
  <c r="A43" i="3"/>
  <c r="A42" i="3"/>
  <c r="A40" i="3"/>
  <c r="A41" i="3" s="1"/>
  <c r="A39" i="3"/>
  <c r="A38" i="3"/>
  <c r="A37" i="3"/>
  <c r="A36" i="3"/>
  <c r="A35" i="3"/>
  <c r="A34" i="3"/>
  <c r="A32" i="3"/>
  <c r="A33" i="3" s="1"/>
  <c r="A31" i="3"/>
  <c r="A30" i="3"/>
  <c r="A29" i="3"/>
  <c r="A28" i="3"/>
  <c r="A27" i="3"/>
  <c r="A26" i="3"/>
  <c r="A24" i="3"/>
  <c r="A25" i="3" s="1"/>
  <c r="A23" i="3"/>
  <c r="A22" i="3"/>
  <c r="A21" i="3"/>
  <c r="A20" i="3"/>
  <c r="A19" i="3"/>
  <c r="A18" i="3"/>
  <c r="A16" i="3"/>
  <c r="A17" i="3" s="1"/>
  <c r="A15" i="3"/>
  <c r="A14" i="3"/>
  <c r="A13" i="3"/>
  <c r="A12" i="3"/>
  <c r="A11" i="3"/>
  <c r="A10" i="3"/>
  <c r="A8" i="3"/>
  <c r="A9" i="3" s="1"/>
  <c r="A7" i="3"/>
  <c r="A6" i="3"/>
  <c r="A5" i="3"/>
  <c r="A4" i="3"/>
  <c r="A3" i="3"/>
  <c r="A2" i="3"/>
  <c r="K1" i="3"/>
  <c r="J1" i="3"/>
  <c r="I1" i="3"/>
  <c r="H1" i="3"/>
  <c r="G1" i="3"/>
  <c r="F1" i="3"/>
  <c r="C1" i="3"/>
  <c r="B1" i="3"/>
  <c r="A1" i="3"/>
  <c r="D9" i="3"/>
  <c r="E3" i="108"/>
  <c r="E9" i="3"/>
  <c r="F3" i="108"/>
  <c r="H9" i="3"/>
  <c r="K3" i="108"/>
  <c r="I9" i="3"/>
  <c r="M3" i="108"/>
  <c r="F11" i="6" s="1"/>
  <c r="C9" i="3"/>
  <c r="C3" i="108"/>
  <c r="J22" i="107"/>
  <c r="M28" i="4" s="1"/>
  <c r="L21" i="107"/>
  <c r="O27" i="4"/>
  <c r="K21" i="107"/>
  <c r="N27" i="4" s="1"/>
  <c r="J21" i="107"/>
  <c r="M27" i="4"/>
  <c r="L20" i="107"/>
  <c r="O26" i="4" s="1"/>
  <c r="J20" i="107"/>
  <c r="M26" i="4"/>
  <c r="H20" i="107"/>
  <c r="K26" i="4" s="1" a="1"/>
  <c r="K26" i="4" s="1"/>
  <c r="L19" i="107"/>
  <c r="O25" i="4" s="1"/>
  <c r="K19" i="107"/>
  <c r="N25" i="4" s="1"/>
  <c r="J19" i="107"/>
  <c r="M25" i="4"/>
  <c r="L18" i="107"/>
  <c r="O24" i="4" s="1"/>
  <c r="J18" i="107"/>
  <c r="M24" i="4" s="1"/>
  <c r="H18" i="107"/>
  <c r="K24" i="4" s="1" a="1"/>
  <c r="K24" i="4"/>
  <c r="L17" i="107"/>
  <c r="O23" i="4" s="1"/>
  <c r="K17" i="107"/>
  <c r="N23" i="4"/>
  <c r="J17" i="107"/>
  <c r="M23" i="4" s="1"/>
  <c r="L16" i="107"/>
  <c r="O22" i="4"/>
  <c r="J16" i="107"/>
  <c r="M22" i="4" s="1"/>
  <c r="H16" i="107"/>
  <c r="K22" i="4" a="1"/>
  <c r="K22" i="4"/>
  <c r="L15" i="107"/>
  <c r="O21" i="4" s="1"/>
  <c r="K15" i="107"/>
  <c r="N21" i="4" s="1"/>
  <c r="J15" i="107"/>
  <c r="M21" i="4" s="1"/>
  <c r="L14" i="107"/>
  <c r="O20" i="4"/>
  <c r="J14" i="107"/>
  <c r="M20" i="4" s="1"/>
  <c r="H14" i="107"/>
  <c r="K20" i="4" s="1" a="1"/>
  <c r="K20" i="4" s="1"/>
  <c r="L13" i="107"/>
  <c r="O19" i="4"/>
  <c r="K13" i="107"/>
  <c r="N19" i="4"/>
  <c r="J13" i="107"/>
  <c r="M19" i="4"/>
  <c r="L12" i="107"/>
  <c r="O18" i="4"/>
  <c r="J12" i="107"/>
  <c r="M18" i="4"/>
  <c r="H12" i="107"/>
  <c r="K18" i="4" a="1"/>
  <c r="K18" i="4" s="1"/>
  <c r="L11" i="107"/>
  <c r="O17" i="4" s="1"/>
  <c r="K11" i="107"/>
  <c r="N17" i="4" s="1"/>
  <c r="J11" i="107"/>
  <c r="M17" i="4"/>
  <c r="L10" i="107"/>
  <c r="O16" i="4" s="1"/>
  <c r="J10" i="107"/>
  <c r="M16" i="4"/>
  <c r="H10" i="107"/>
  <c r="K16" i="4" s="1" a="1"/>
  <c r="K16" i="4" s="1"/>
  <c r="L9" i="107"/>
  <c r="O15" i="4"/>
  <c r="K9" i="107"/>
  <c r="N15" i="4"/>
  <c r="J9" i="107"/>
  <c r="M15" i="4"/>
  <c r="L8" i="107"/>
  <c r="O14" i="4"/>
  <c r="J8" i="107"/>
  <c r="M14" i="4"/>
  <c r="H8" i="107"/>
  <c r="K14" i="4" a="1"/>
  <c r="K14" i="4" s="1"/>
  <c r="L7" i="107"/>
  <c r="O13" i="4" s="1"/>
  <c r="K7" i="107"/>
  <c r="N13" i="4"/>
  <c r="J7" i="107"/>
  <c r="M13" i="4" s="1"/>
  <c r="L6" i="107"/>
  <c r="O12" i="4" s="1"/>
  <c r="J6" i="107"/>
  <c r="M12" i="4" s="1"/>
  <c r="H6" i="107"/>
  <c r="K12" i="4" a="1"/>
  <c r="K12" i="4" s="1"/>
  <c r="L5" i="107"/>
  <c r="O11" i="4"/>
  <c r="K5" i="107"/>
  <c r="N11" i="4" s="1"/>
  <c r="J5" i="107"/>
  <c r="M11" i="4"/>
  <c r="L3" i="107"/>
  <c r="O9" i="4" s="1"/>
  <c r="K3" i="107"/>
  <c r="N9" i="4"/>
  <c r="F21" i="107"/>
  <c r="J27" i="4" s="1" a="1"/>
  <c r="J27" i="4" s="1"/>
  <c r="L27" i="4"/>
  <c r="F20" i="107"/>
  <c r="J26" i="4" a="1"/>
  <c r="J26" i="4" s="1"/>
  <c r="L26" i="4" s="1"/>
  <c r="F19" i="107"/>
  <c r="J25" i="4" s="1" a="1"/>
  <c r="J25" i="4" s="1"/>
  <c r="L25" i="4" s="1"/>
  <c r="F18" i="107"/>
  <c r="J24" i="4" s="1" a="1"/>
  <c r="J24" i="4" s="1"/>
  <c r="L24" i="4" s="1"/>
  <c r="F17" i="107"/>
  <c r="J23" i="4" s="1" a="1"/>
  <c r="J23" i="4" s="1"/>
  <c r="L23" i="4" s="1"/>
  <c r="F16" i="107"/>
  <c r="J22" i="4" a="1"/>
  <c r="J22" i="4" s="1"/>
  <c r="L22" i="4" s="1"/>
  <c r="F15" i="107"/>
  <c r="J21" i="4" s="1" a="1"/>
  <c r="J21" i="4" s="1"/>
  <c r="L21" i="4" s="1"/>
  <c r="F14" i="107"/>
  <c r="J20" i="4" s="1" a="1"/>
  <c r="J20" i="4" s="1"/>
  <c r="L20" i="4" s="1"/>
  <c r="F13" i="107"/>
  <c r="J19" i="4" s="1" a="1"/>
  <c r="J19" i="4" s="1"/>
  <c r="L19" i="4"/>
  <c r="F12" i="107"/>
  <c r="J18" i="4" a="1"/>
  <c r="J18" i="4" s="1"/>
  <c r="L18" i="4" s="1"/>
  <c r="F11" i="107"/>
  <c r="J17" i="4" s="1" a="1"/>
  <c r="J17" i="4" s="1"/>
  <c r="L17" i="4" s="1"/>
  <c r="F10" i="107"/>
  <c r="J16" i="4" s="1" a="1"/>
  <c r="J16" i="4" s="1"/>
  <c r="L16" i="4" s="1"/>
  <c r="F9" i="107"/>
  <c r="J15" i="4" s="1" a="1"/>
  <c r="J15" i="4" s="1"/>
  <c r="L15" i="4" s="1"/>
  <c r="F8" i="107"/>
  <c r="J14" i="4" a="1"/>
  <c r="J14" i="4" s="1"/>
  <c r="L14" i="4" s="1"/>
  <c r="F7" i="107"/>
  <c r="J13" i="4" s="1" a="1"/>
  <c r="J13" i="4" s="1"/>
  <c r="L13" i="4" s="1"/>
  <c r="F6" i="107"/>
  <c r="J12" i="4" s="1" a="1"/>
  <c r="J12" i="4" s="1"/>
  <c r="L12" i="4" s="1"/>
  <c r="F5" i="107"/>
  <c r="J11" i="4" s="1" a="1"/>
  <c r="J11" i="4" s="1"/>
  <c r="L11" i="4"/>
  <c r="F4" i="107"/>
  <c r="J10" i="4" a="1"/>
  <c r="J10" i="4" s="1"/>
  <c r="E22" i="107"/>
  <c r="H28" i="4"/>
  <c r="E21" i="107"/>
  <c r="H27" i="4" s="1"/>
  <c r="E19" i="107"/>
  <c r="H25" i="4" s="1"/>
  <c r="E17" i="107"/>
  <c r="H23" i="4" s="1"/>
  <c r="E15" i="107"/>
  <c r="H21" i="4"/>
  <c r="E13" i="107"/>
  <c r="H19" i="4" s="1"/>
  <c r="E11" i="107"/>
  <c r="H17" i="4" s="1"/>
  <c r="E9" i="107"/>
  <c r="H15" i="4" s="1"/>
  <c r="E7" i="107"/>
  <c r="H13" i="4" s="1"/>
  <c r="E5" i="107"/>
  <c r="H11" i="4" s="1"/>
  <c r="M2" i="107"/>
  <c r="J2" i="107"/>
  <c r="I2" i="107"/>
  <c r="H2" i="107"/>
  <c r="G2" i="107"/>
  <c r="F2" i="107"/>
  <c r="E2" i="107"/>
  <c r="D2" i="107"/>
  <c r="C2" i="107"/>
  <c r="H1" i="107"/>
  <c r="F1" i="107"/>
  <c r="C1" i="107"/>
  <c r="B2" i="107"/>
  <c r="A2" i="107"/>
  <c r="K22" i="107"/>
  <c r="N28" i="4" s="1"/>
  <c r="H22" i="107"/>
  <c r="K28" i="4" a="1"/>
  <c r="K28" i="4"/>
  <c r="F9" i="2"/>
  <c r="H3" i="107"/>
  <c r="E9" i="2"/>
  <c r="F3" i="107"/>
  <c r="J9" i="4" s="1" a="1"/>
  <c r="J9" i="4" s="1"/>
  <c r="L9" i="4" s="1"/>
  <c r="C161" i="2"/>
  <c r="C153" i="2"/>
  <c r="C145" i="2"/>
  <c r="C137" i="2"/>
  <c r="C129" i="2"/>
  <c r="C121" i="2"/>
  <c r="C113" i="2"/>
  <c r="C105" i="2"/>
  <c r="C97" i="2"/>
  <c r="C89" i="2"/>
  <c r="C81" i="2"/>
  <c r="C73" i="2"/>
  <c r="C65" i="2"/>
  <c r="C57" i="2"/>
  <c r="C49" i="2"/>
  <c r="C41" i="2"/>
  <c r="C33" i="2"/>
  <c r="C25" i="2"/>
  <c r="C9" i="2"/>
  <c r="J1" i="2"/>
  <c r="I1" i="2"/>
  <c r="L2" i="107"/>
  <c r="O8" i="4"/>
  <c r="H1" i="2"/>
  <c r="K2" i="107" s="1"/>
  <c r="N8" i="4" s="1"/>
  <c r="G1" i="2"/>
  <c r="F1" i="2"/>
  <c r="E1" i="2"/>
  <c r="D1" i="2"/>
  <c r="C1" i="2"/>
  <c r="B1" i="2"/>
  <c r="A1" i="2"/>
  <c r="B161" i="2"/>
  <c r="B153" i="2"/>
  <c r="B145" i="2"/>
  <c r="B137" i="2"/>
  <c r="B129" i="2"/>
  <c r="B121" i="2"/>
  <c r="B113" i="2"/>
  <c r="B105" i="2"/>
  <c r="B97" i="2"/>
  <c r="B89" i="2"/>
  <c r="B81" i="2"/>
  <c r="B73" i="2"/>
  <c r="B65" i="2"/>
  <c r="B57" i="2"/>
  <c r="B49" i="2"/>
  <c r="B41" i="2"/>
  <c r="B33" i="2"/>
  <c r="B25" i="2"/>
  <c r="B17" i="2"/>
  <c r="B9" i="2"/>
  <c r="A160" i="2"/>
  <c r="A161" i="2" s="1"/>
  <c r="A159" i="2"/>
  <c r="A158" i="2"/>
  <c r="A157" i="2"/>
  <c r="A156" i="2"/>
  <c r="A155" i="2"/>
  <c r="A154" i="2"/>
  <c r="A152" i="2"/>
  <c r="A153" i="2"/>
  <c r="A27" i="4" s="1"/>
  <c r="A151" i="2"/>
  <c r="A150" i="2"/>
  <c r="A149" i="2"/>
  <c r="A148" i="2"/>
  <c r="A147" i="2"/>
  <c r="A146" i="2"/>
  <c r="A144" i="2"/>
  <c r="A145" i="2" s="1"/>
  <c r="A143" i="2"/>
  <c r="A142" i="2"/>
  <c r="A141" i="2"/>
  <c r="A140" i="2"/>
  <c r="A139" i="2"/>
  <c r="A138" i="2"/>
  <c r="A136" i="2"/>
  <c r="A137" i="2"/>
  <c r="A25" i="4" s="1"/>
  <c r="A135" i="2"/>
  <c r="A134" i="2"/>
  <c r="A133" i="2"/>
  <c r="A132" i="2"/>
  <c r="A131" i="2"/>
  <c r="A130" i="2"/>
  <c r="A128" i="2"/>
  <c r="A129" i="2" s="1"/>
  <c r="A18" i="107"/>
  <c r="A127" i="2"/>
  <c r="A126" i="2"/>
  <c r="A125" i="2"/>
  <c r="A124" i="2"/>
  <c r="A123" i="2"/>
  <c r="A122" i="2"/>
  <c r="A120" i="2"/>
  <c r="A121" i="2"/>
  <c r="A17" i="107" s="1"/>
  <c r="A23" i="4"/>
  <c r="A119" i="2"/>
  <c r="A118" i="2"/>
  <c r="A117" i="2"/>
  <c r="A116" i="2"/>
  <c r="A115" i="2"/>
  <c r="A114" i="2"/>
  <c r="A112" i="2"/>
  <c r="A113" i="2"/>
  <c r="A111" i="2"/>
  <c r="A110" i="2"/>
  <c r="A109" i="2"/>
  <c r="A108" i="2"/>
  <c r="A107" i="2"/>
  <c r="A106" i="2"/>
  <c r="A104" i="2"/>
  <c r="A105" i="2" s="1"/>
  <c r="A21" i="4" s="1"/>
  <c r="A103" i="2"/>
  <c r="A102" i="2"/>
  <c r="A101" i="2"/>
  <c r="A100" i="2"/>
  <c r="A99" i="2"/>
  <c r="A98" i="2"/>
  <c r="A96" i="2"/>
  <c r="A97" i="2" s="1"/>
  <c r="A95" i="2"/>
  <c r="A94" i="2"/>
  <c r="A93" i="2"/>
  <c r="A92" i="2"/>
  <c r="A91" i="2"/>
  <c r="A90" i="2"/>
  <c r="A88" i="2"/>
  <c r="A89" i="2"/>
  <c r="A87" i="2"/>
  <c r="A86" i="2"/>
  <c r="A85" i="2"/>
  <c r="A84" i="2"/>
  <c r="A83" i="2"/>
  <c r="A82" i="2"/>
  <c r="A80" i="2"/>
  <c r="A81" i="2" s="1"/>
  <c r="A79" i="2"/>
  <c r="A78" i="2"/>
  <c r="A77" i="2"/>
  <c r="A76" i="2"/>
  <c r="A75" i="2"/>
  <c r="A74" i="2"/>
  <c r="A72" i="2"/>
  <c r="A73" i="2"/>
  <c r="A17" i="4" s="1"/>
  <c r="A71" i="2"/>
  <c r="A70" i="2"/>
  <c r="A69" i="2"/>
  <c r="A68" i="2"/>
  <c r="A67" i="2"/>
  <c r="A66" i="2"/>
  <c r="A64" i="2"/>
  <c r="A65" i="2" s="1"/>
  <c r="A10" i="107"/>
  <c r="A63" i="2"/>
  <c r="A62" i="2"/>
  <c r="A61" i="2"/>
  <c r="A60" i="2"/>
  <c r="A59" i="2"/>
  <c r="A58" i="2"/>
  <c r="A56" i="2"/>
  <c r="A57" i="2"/>
  <c r="A9" i="107" s="1"/>
  <c r="A15" i="4"/>
  <c r="A55" i="2"/>
  <c r="A54" i="2"/>
  <c r="A53" i="2"/>
  <c r="A52" i="2"/>
  <c r="A51" i="2"/>
  <c r="A50" i="2"/>
  <c r="A48" i="2"/>
  <c r="A49" i="2"/>
  <c r="A47" i="2"/>
  <c r="A46" i="2"/>
  <c r="A45" i="2"/>
  <c r="A44" i="2"/>
  <c r="A43" i="2"/>
  <c r="A42" i="2"/>
  <c r="A40" i="2"/>
  <c r="A41" i="2" s="1"/>
  <c r="A13" i="4" s="1"/>
  <c r="A39" i="2"/>
  <c r="A38" i="2"/>
  <c r="A37" i="2"/>
  <c r="A36" i="2"/>
  <c r="A35" i="2"/>
  <c r="A34" i="2"/>
  <c r="A32" i="2"/>
  <c r="A33" i="2" s="1"/>
  <c r="A31" i="2"/>
  <c r="A30" i="2"/>
  <c r="A29" i="2"/>
  <c r="A28" i="2"/>
  <c r="A27" i="2"/>
  <c r="A26" i="2"/>
  <c r="A24" i="2"/>
  <c r="A25" i="2"/>
  <c r="A11" i="4" s="1"/>
  <c r="A23" i="2"/>
  <c r="A22" i="2"/>
  <c r="A21" i="2"/>
  <c r="A20" i="2"/>
  <c r="A19" i="2"/>
  <c r="A18" i="2"/>
  <c r="A16" i="2"/>
  <c r="A17" i="2" s="1"/>
  <c r="A15" i="2"/>
  <c r="A14" i="2"/>
  <c r="A13" i="2"/>
  <c r="A12" i="2"/>
  <c r="A11" i="2"/>
  <c r="A10" i="2"/>
  <c r="A8" i="2"/>
  <c r="A9" i="2" s="1"/>
  <c r="A3" i="107" s="1"/>
  <c r="A9" i="4"/>
  <c r="A7" i="2"/>
  <c r="A6" i="2"/>
  <c r="A5" i="2"/>
  <c r="A4" i="2"/>
  <c r="A3" i="2"/>
  <c r="A2" i="2"/>
  <c r="A22" i="107"/>
  <c r="A29" i="106"/>
  <c r="A28" i="106"/>
  <c r="A31" i="106"/>
  <c r="A8" i="106"/>
  <c r="G29" i="106"/>
  <c r="G28" i="106"/>
  <c r="A27" i="106"/>
  <c r="E25" i="106"/>
  <c r="B25" i="106"/>
  <c r="A6" i="106"/>
  <c r="A6" i="6" s="1"/>
  <c r="G5" i="106"/>
  <c r="A5" i="106"/>
  <c r="A5" i="6"/>
  <c r="G4" i="106"/>
  <c r="A4" i="106"/>
  <c r="A4" i="6" s="1"/>
  <c r="G3" i="106"/>
  <c r="A3" i="106"/>
  <c r="A3" i="6" s="1"/>
  <c r="E1" i="106"/>
  <c r="E1" i="4"/>
  <c r="B1" i="106"/>
  <c r="B1" i="4" s="1"/>
  <c r="J28" i="106"/>
  <c r="Q5" i="5"/>
  <c r="O15" i="6"/>
  <c r="O16" i="6"/>
  <c r="O17" i="6"/>
  <c r="O18" i="6"/>
  <c r="O20" i="6"/>
  <c r="O21" i="6"/>
  <c r="O22" i="6"/>
  <c r="O24" i="6"/>
  <c r="O25" i="6"/>
  <c r="O26" i="6"/>
  <c r="O28" i="6"/>
  <c r="O30" i="6"/>
  <c r="O32" i="6"/>
  <c r="O33" i="6"/>
  <c r="O34" i="6"/>
  <c r="O36" i="6"/>
  <c r="O37" i="6"/>
  <c r="O38" i="6"/>
  <c r="O42" i="6"/>
  <c r="O43" i="6"/>
  <c r="O44" i="6"/>
  <c r="O46" i="6"/>
  <c r="O48" i="6"/>
  <c r="O50" i="6"/>
  <c r="O51" i="6"/>
  <c r="O52" i="6"/>
  <c r="O54" i="6"/>
  <c r="O58" i="6"/>
  <c r="O59" i="6"/>
  <c r="O60" i="6"/>
  <c r="O62" i="6"/>
  <c r="O63" i="6"/>
  <c r="O64" i="6"/>
  <c r="O66" i="6"/>
  <c r="O68" i="6"/>
  <c r="O70" i="6"/>
  <c r="O71" i="6"/>
  <c r="O72" i="6"/>
  <c r="O74" i="6"/>
  <c r="O75" i="6"/>
  <c r="O76" i="6"/>
  <c r="O78" i="6"/>
  <c r="O80" i="6"/>
  <c r="O82" i="6"/>
  <c r="O83" i="6"/>
  <c r="O84" i="6"/>
  <c r="O86" i="6"/>
  <c r="O87" i="6"/>
  <c r="O89" i="6"/>
  <c r="O91" i="6"/>
  <c r="M92" i="6"/>
  <c r="N92" i="6"/>
  <c r="O92" i="6"/>
  <c r="M93" i="6"/>
  <c r="N93" i="6"/>
  <c r="M94" i="6"/>
  <c r="N94" i="6"/>
  <c r="O94" i="6"/>
  <c r="M95" i="6"/>
  <c r="N95" i="6"/>
  <c r="O95" i="6"/>
  <c r="M96" i="6"/>
  <c r="N96" i="6"/>
  <c r="O96" i="6"/>
  <c r="M97" i="6"/>
  <c r="N97" i="6"/>
  <c r="M98" i="6"/>
  <c r="O98" i="6"/>
  <c r="N98" i="6"/>
  <c r="M99" i="6"/>
  <c r="N99" i="6"/>
  <c r="O99" i="6"/>
  <c r="M100" i="6"/>
  <c r="N100" i="6"/>
  <c r="O100" i="6"/>
  <c r="M101" i="6"/>
  <c r="N101" i="6"/>
  <c r="M102" i="6"/>
  <c r="N102" i="6"/>
  <c r="O102" i="6"/>
  <c r="M103" i="6"/>
  <c r="N103" i="6"/>
  <c r="O103" i="6"/>
  <c r="M104" i="6"/>
  <c r="N104" i="6"/>
  <c r="O104" i="6"/>
  <c r="M105" i="6"/>
  <c r="N105" i="6"/>
  <c r="M106" i="6"/>
  <c r="N106" i="6"/>
  <c r="O106" i="6"/>
  <c r="M107" i="6"/>
  <c r="N107" i="6"/>
  <c r="M108" i="6"/>
  <c r="N108" i="6"/>
  <c r="O108" i="6"/>
  <c r="M109" i="6"/>
  <c r="N109" i="6"/>
  <c r="M110" i="6"/>
  <c r="N110" i="6"/>
  <c r="O110" i="6"/>
  <c r="M111" i="6"/>
  <c r="N111" i="6"/>
  <c r="O111" i="6"/>
  <c r="M112" i="6"/>
  <c r="N112" i="6"/>
  <c r="M113" i="6"/>
  <c r="N113" i="6"/>
  <c r="O113" i="6"/>
  <c r="M114" i="6"/>
  <c r="N114" i="6"/>
  <c r="O114" i="6"/>
  <c r="M115" i="6"/>
  <c r="N115" i="6"/>
  <c r="M116" i="6"/>
  <c r="N116" i="6"/>
  <c r="O116" i="6"/>
  <c r="P11" i="5"/>
  <c r="T11" i="5"/>
  <c r="I11" i="5"/>
  <c r="P12" i="5"/>
  <c r="T12" i="5"/>
  <c r="I12" i="5"/>
  <c r="N12" i="5"/>
  <c r="P13" i="5"/>
  <c r="T13" i="5"/>
  <c r="I13" i="5"/>
  <c r="P14" i="5"/>
  <c r="T14" i="5"/>
  <c r="I14" i="5"/>
  <c r="N14" i="5"/>
  <c r="P15" i="5"/>
  <c r="T15" i="5"/>
  <c r="I15" i="5"/>
  <c r="V15" i="5"/>
  <c r="W15" i="5"/>
  <c r="P16" i="5"/>
  <c r="T16" i="5"/>
  <c r="V16" i="5"/>
  <c r="W16" i="5"/>
  <c r="P17" i="5"/>
  <c r="T17" i="5"/>
  <c r="V17" i="5"/>
  <c r="W17" i="5"/>
  <c r="P18" i="5"/>
  <c r="T18" i="5"/>
  <c r="V18" i="5"/>
  <c r="W18" i="5"/>
  <c r="P19" i="5"/>
  <c r="T19" i="5"/>
  <c r="V19" i="5"/>
  <c r="W19" i="5"/>
  <c r="P20" i="5"/>
  <c r="T20" i="5"/>
  <c r="V20" i="5"/>
  <c r="W20" i="5"/>
  <c r="P21" i="5"/>
  <c r="T21" i="5"/>
  <c r="V21" i="5"/>
  <c r="W21" i="5"/>
  <c r="P22" i="5"/>
  <c r="T22" i="5"/>
  <c r="V22" i="5"/>
  <c r="W22" i="5"/>
  <c r="P23" i="5"/>
  <c r="T23" i="5"/>
  <c r="V23" i="5"/>
  <c r="W23" i="5"/>
  <c r="P24" i="5"/>
  <c r="T24" i="5"/>
  <c r="V24" i="5"/>
  <c r="W24" i="5"/>
  <c r="P25" i="5"/>
  <c r="T25" i="5"/>
  <c r="V25" i="5"/>
  <c r="W25" i="5"/>
  <c r="P26" i="5"/>
  <c r="T26" i="5"/>
  <c r="V26" i="5"/>
  <c r="W26" i="5"/>
  <c r="P27" i="5"/>
  <c r="T27" i="5"/>
  <c r="V27" i="5"/>
  <c r="W27" i="5"/>
  <c r="P28" i="5"/>
  <c r="T28" i="5"/>
  <c r="V28" i="5"/>
  <c r="W28" i="5"/>
  <c r="P29" i="5"/>
  <c r="T29" i="5"/>
  <c r="V29" i="5"/>
  <c r="W29" i="5"/>
  <c r="P30" i="5"/>
  <c r="T30" i="5"/>
  <c r="V30" i="5"/>
  <c r="W30" i="5"/>
  <c r="P31" i="5"/>
  <c r="T31" i="5"/>
  <c r="V31" i="5"/>
  <c r="W31" i="5"/>
  <c r="P32" i="5"/>
  <c r="T32" i="5"/>
  <c r="V32" i="5"/>
  <c r="W32" i="5"/>
  <c r="P33" i="5"/>
  <c r="T33" i="5"/>
  <c r="V33" i="5"/>
  <c r="W33" i="5"/>
  <c r="P34" i="5"/>
  <c r="T34" i="5"/>
  <c r="V34" i="5"/>
  <c r="W34" i="5"/>
  <c r="P35" i="5"/>
  <c r="T35" i="5"/>
  <c r="V35" i="5"/>
  <c r="W35" i="5"/>
  <c r="P36" i="5"/>
  <c r="T36" i="5"/>
  <c r="V36" i="5"/>
  <c r="W36" i="5"/>
  <c r="P37" i="5"/>
  <c r="T37" i="5"/>
  <c r="V37" i="5"/>
  <c r="W37" i="5"/>
  <c r="P38" i="5"/>
  <c r="T38" i="5"/>
  <c r="V38" i="5"/>
  <c r="W38" i="5"/>
  <c r="P39" i="5"/>
  <c r="T39" i="5"/>
  <c r="V39" i="5"/>
  <c r="W39" i="5"/>
  <c r="P40" i="5"/>
  <c r="T40" i="5"/>
  <c r="V40" i="5"/>
  <c r="W40" i="5"/>
  <c r="P41" i="5"/>
  <c r="T41" i="5"/>
  <c r="V41" i="5"/>
  <c r="W41" i="5"/>
  <c r="P42" i="5"/>
  <c r="T42" i="5"/>
  <c r="V42" i="5"/>
  <c r="W42" i="5"/>
  <c r="P43" i="5"/>
  <c r="T43" i="5"/>
  <c r="V43" i="5"/>
  <c r="W43" i="5"/>
  <c r="P44" i="5"/>
  <c r="T44" i="5"/>
  <c r="V44" i="5"/>
  <c r="W44" i="5"/>
  <c r="P45" i="5"/>
  <c r="T45" i="5"/>
  <c r="V45" i="5"/>
  <c r="W45" i="5"/>
  <c r="P46" i="5"/>
  <c r="T46" i="5"/>
  <c r="V46" i="5"/>
  <c r="W46" i="5"/>
  <c r="P47" i="5"/>
  <c r="T47" i="5"/>
  <c r="V47" i="5"/>
  <c r="W47" i="5"/>
  <c r="P48" i="5"/>
  <c r="T48" i="5"/>
  <c r="V48" i="5"/>
  <c r="W48" i="5"/>
  <c r="P49" i="5"/>
  <c r="T49" i="5"/>
  <c r="V49" i="5"/>
  <c r="W49" i="5"/>
  <c r="P50" i="5"/>
  <c r="T50" i="5"/>
  <c r="V50" i="5"/>
  <c r="W50" i="5"/>
  <c r="P51" i="5"/>
  <c r="T51" i="5"/>
  <c r="V51" i="5"/>
  <c r="W51" i="5"/>
  <c r="P52" i="5"/>
  <c r="T52" i="5"/>
  <c r="V52" i="5"/>
  <c r="W52" i="5"/>
  <c r="P53" i="5"/>
  <c r="T53" i="5"/>
  <c r="V53" i="5"/>
  <c r="W53" i="5"/>
  <c r="P54" i="5"/>
  <c r="T54" i="5"/>
  <c r="V54" i="5"/>
  <c r="W54" i="5"/>
  <c r="P55" i="5"/>
  <c r="T55" i="5"/>
  <c r="V55" i="5"/>
  <c r="W55" i="5"/>
  <c r="P56" i="5"/>
  <c r="T56" i="5"/>
  <c r="V56" i="5"/>
  <c r="W56" i="5"/>
  <c r="P57" i="5"/>
  <c r="T57" i="5"/>
  <c r="V57" i="5"/>
  <c r="W57" i="5"/>
  <c r="P58" i="5"/>
  <c r="T58" i="5"/>
  <c r="V58" i="5"/>
  <c r="W58" i="5"/>
  <c r="P59" i="5"/>
  <c r="T59" i="5"/>
  <c r="V59" i="5"/>
  <c r="W59" i="5"/>
  <c r="P60" i="5"/>
  <c r="T60" i="5"/>
  <c r="V60" i="5"/>
  <c r="W60" i="5"/>
  <c r="P61" i="5"/>
  <c r="T61" i="5"/>
  <c r="V61" i="5"/>
  <c r="W61" i="5"/>
  <c r="P62" i="5"/>
  <c r="T62" i="5"/>
  <c r="V62" i="5"/>
  <c r="W62" i="5"/>
  <c r="P63" i="5"/>
  <c r="T63" i="5"/>
  <c r="V63" i="5"/>
  <c r="W63" i="5"/>
  <c r="P64" i="5"/>
  <c r="T64" i="5"/>
  <c r="V64" i="5"/>
  <c r="W64" i="5"/>
  <c r="P65" i="5"/>
  <c r="T65" i="5"/>
  <c r="V65" i="5"/>
  <c r="W65" i="5"/>
  <c r="P66" i="5"/>
  <c r="T66" i="5"/>
  <c r="V66" i="5"/>
  <c r="W66" i="5"/>
  <c r="P67" i="5"/>
  <c r="T67" i="5"/>
  <c r="V67" i="5"/>
  <c r="W67" i="5"/>
  <c r="P68" i="5"/>
  <c r="T68" i="5"/>
  <c r="V68" i="5"/>
  <c r="W68" i="5"/>
  <c r="P69" i="5"/>
  <c r="T69" i="5"/>
  <c r="V69" i="5"/>
  <c r="W69" i="5"/>
  <c r="P70" i="5"/>
  <c r="T70" i="5"/>
  <c r="V70" i="5"/>
  <c r="W70" i="5"/>
  <c r="P71" i="5"/>
  <c r="T71" i="5"/>
  <c r="V71" i="5"/>
  <c r="W71" i="5"/>
  <c r="P72" i="5"/>
  <c r="T72" i="5"/>
  <c r="V72" i="5"/>
  <c r="W72" i="5"/>
  <c r="P73" i="5"/>
  <c r="T73" i="5"/>
  <c r="V73" i="5"/>
  <c r="W73" i="5"/>
  <c r="P74" i="5"/>
  <c r="T74" i="5"/>
  <c r="V74" i="5"/>
  <c r="W74" i="5"/>
  <c r="P75" i="5"/>
  <c r="T75" i="5"/>
  <c r="V75" i="5"/>
  <c r="W75" i="5"/>
  <c r="P76" i="5"/>
  <c r="T76" i="5"/>
  <c r="V76" i="5"/>
  <c r="W76" i="5"/>
  <c r="P77" i="5"/>
  <c r="T77" i="5"/>
  <c r="V77" i="5"/>
  <c r="W77" i="5"/>
  <c r="P78" i="5"/>
  <c r="T78" i="5"/>
  <c r="V78" i="5"/>
  <c r="W78" i="5"/>
  <c r="P79" i="5"/>
  <c r="T79" i="5"/>
  <c r="V79" i="5"/>
  <c r="W79" i="5"/>
  <c r="P80" i="5"/>
  <c r="T80" i="5"/>
  <c r="V80" i="5"/>
  <c r="W80" i="5"/>
  <c r="P81" i="5"/>
  <c r="T81" i="5"/>
  <c r="V81" i="5"/>
  <c r="W81" i="5"/>
  <c r="P82" i="5"/>
  <c r="T82" i="5"/>
  <c r="V82" i="5"/>
  <c r="W82" i="5"/>
  <c r="P83" i="5"/>
  <c r="T83" i="5"/>
  <c r="V83" i="5"/>
  <c r="W83" i="5"/>
  <c r="P84" i="5"/>
  <c r="T84" i="5"/>
  <c r="V84" i="5"/>
  <c r="W84" i="5"/>
  <c r="P85" i="5"/>
  <c r="T85" i="5"/>
  <c r="V85" i="5"/>
  <c r="W85" i="5"/>
  <c r="P86" i="5"/>
  <c r="T86" i="5"/>
  <c r="V86" i="5"/>
  <c r="W86" i="5"/>
  <c r="P87" i="5"/>
  <c r="T87" i="5"/>
  <c r="V87" i="5"/>
  <c r="W87" i="5"/>
  <c r="P88" i="5"/>
  <c r="T88" i="5"/>
  <c r="V88" i="5"/>
  <c r="W88" i="5"/>
  <c r="P89" i="5"/>
  <c r="T89" i="5"/>
  <c r="V89" i="5"/>
  <c r="W89" i="5"/>
  <c r="P90" i="5"/>
  <c r="T90" i="5"/>
  <c r="V90" i="5"/>
  <c r="W90" i="5"/>
  <c r="P91" i="5"/>
  <c r="T91" i="5"/>
  <c r="V91" i="5"/>
  <c r="W91" i="5"/>
  <c r="P92" i="5"/>
  <c r="T92" i="5"/>
  <c r="I92" i="5"/>
  <c r="V92" i="5"/>
  <c r="W92" i="5"/>
  <c r="P93" i="5"/>
  <c r="T93" i="5"/>
  <c r="I93" i="5"/>
  <c r="N93" i="5"/>
  <c r="V93" i="5"/>
  <c r="W93" i="5"/>
  <c r="P94" i="5"/>
  <c r="T94" i="5"/>
  <c r="I94" i="5"/>
  <c r="V94" i="5"/>
  <c r="W94" i="5"/>
  <c r="P95" i="5"/>
  <c r="T95" i="5"/>
  <c r="I95" i="5"/>
  <c r="N95" i="5"/>
  <c r="V95" i="5"/>
  <c r="W95" i="5"/>
  <c r="P96" i="5"/>
  <c r="T96" i="5"/>
  <c r="I96" i="5"/>
  <c r="V96" i="5"/>
  <c r="W96" i="5"/>
  <c r="P97" i="5"/>
  <c r="T97" i="5"/>
  <c r="I97" i="5"/>
  <c r="N97" i="5"/>
  <c r="V97" i="5"/>
  <c r="W97" i="5"/>
  <c r="P98" i="5"/>
  <c r="T98" i="5"/>
  <c r="I98" i="5"/>
  <c r="V98" i="5"/>
  <c r="W98" i="5"/>
  <c r="P99" i="5"/>
  <c r="T99" i="5"/>
  <c r="I99" i="5"/>
  <c r="N99" i="5"/>
  <c r="V99" i="5"/>
  <c r="W99" i="5"/>
  <c r="P100" i="5"/>
  <c r="T100" i="5"/>
  <c r="I100" i="5"/>
  <c r="V100" i="5"/>
  <c r="W100" i="5"/>
  <c r="P101" i="5"/>
  <c r="T101" i="5"/>
  <c r="I101" i="5"/>
  <c r="N101" i="5"/>
  <c r="V101" i="5"/>
  <c r="W101" i="5"/>
  <c r="P102" i="5"/>
  <c r="T102" i="5"/>
  <c r="I102" i="5"/>
  <c r="V102" i="5"/>
  <c r="W102" i="5"/>
  <c r="P103" i="5"/>
  <c r="T103" i="5"/>
  <c r="I103" i="5"/>
  <c r="N103" i="5"/>
  <c r="V103" i="5"/>
  <c r="W103" i="5"/>
  <c r="P104" i="5"/>
  <c r="T104" i="5"/>
  <c r="I104" i="5"/>
  <c r="V104" i="5"/>
  <c r="W104" i="5"/>
  <c r="P105" i="5"/>
  <c r="T105" i="5"/>
  <c r="I105" i="5"/>
  <c r="N105" i="5"/>
  <c r="V105" i="5"/>
  <c r="W105" i="5"/>
  <c r="P106" i="5"/>
  <c r="T106" i="5"/>
  <c r="I106" i="5"/>
  <c r="V106" i="5"/>
  <c r="W106" i="5"/>
  <c r="P107" i="5"/>
  <c r="T107" i="5"/>
  <c r="I107" i="5"/>
  <c r="N107" i="5"/>
  <c r="V107" i="5"/>
  <c r="W107" i="5"/>
  <c r="P108" i="5"/>
  <c r="T108" i="5"/>
  <c r="I108" i="5"/>
  <c r="V108" i="5"/>
  <c r="W108" i="5"/>
  <c r="P109" i="5"/>
  <c r="T109" i="5"/>
  <c r="I109" i="5"/>
  <c r="N109" i="5"/>
  <c r="V109" i="5"/>
  <c r="W109" i="5"/>
  <c r="P110" i="5"/>
  <c r="T110" i="5"/>
  <c r="I110" i="5"/>
  <c r="V110" i="5"/>
  <c r="W110" i="5"/>
  <c r="P111" i="5"/>
  <c r="T111" i="5"/>
  <c r="I111" i="5"/>
  <c r="N111" i="5"/>
  <c r="V111" i="5"/>
  <c r="W111" i="5"/>
  <c r="P112" i="5"/>
  <c r="T112" i="5"/>
  <c r="I112" i="5"/>
  <c r="V112" i="5"/>
  <c r="W112" i="5"/>
  <c r="P113" i="5"/>
  <c r="T113" i="5"/>
  <c r="I113" i="5"/>
  <c r="V113" i="5"/>
  <c r="W113" i="5"/>
  <c r="P114" i="5"/>
  <c r="T114" i="5"/>
  <c r="I114" i="5"/>
  <c r="V114" i="5"/>
  <c r="W114" i="5"/>
  <c r="P115" i="5"/>
  <c r="T115" i="5"/>
  <c r="I115" i="5"/>
  <c r="V115" i="5"/>
  <c r="W115" i="5"/>
  <c r="P116" i="5"/>
  <c r="T116" i="5"/>
  <c r="I116" i="5"/>
  <c r="V116" i="5"/>
  <c r="W116" i="5"/>
  <c r="R9" i="4"/>
  <c r="R10" i="4"/>
  <c r="R11" i="4"/>
  <c r="R12" i="4"/>
  <c r="R14" i="4"/>
  <c r="R15" i="4"/>
  <c r="R16" i="4"/>
  <c r="R17" i="4"/>
  <c r="R18" i="4"/>
  <c r="R19" i="4"/>
  <c r="R20" i="4"/>
  <c r="R21" i="4"/>
  <c r="R22" i="4"/>
  <c r="R24" i="4"/>
  <c r="R25" i="4"/>
  <c r="R26" i="4"/>
  <c r="R28" i="4"/>
  <c r="J4" i="6"/>
  <c r="J6" i="6"/>
  <c r="Q4" i="5"/>
  <c r="R27" i="4"/>
  <c r="O90" i="6"/>
  <c r="Y113" i="5"/>
  <c r="C1" i="6"/>
  <c r="O112" i="6"/>
  <c r="O107" i="6"/>
  <c r="O97" i="6"/>
  <c r="O115" i="6"/>
  <c r="O105" i="6"/>
  <c r="O88" i="6"/>
  <c r="O109" i="6"/>
  <c r="O101" i="6"/>
  <c r="O93" i="6"/>
  <c r="N113" i="5"/>
  <c r="Y115" i="5"/>
  <c r="O67" i="6"/>
  <c r="O40" i="6"/>
  <c r="O39" i="6"/>
  <c r="O29" i="6"/>
  <c r="O79" i="6"/>
  <c r="O56" i="6"/>
  <c r="O55" i="6"/>
  <c r="O47" i="6"/>
  <c r="O85" i="6"/>
  <c r="O81" i="6"/>
  <c r="O77" i="6"/>
  <c r="O73" i="6"/>
  <c r="O69" i="6"/>
  <c r="O65" i="6"/>
  <c r="O61" i="6"/>
  <c r="O57" i="6"/>
  <c r="O53" i="6"/>
  <c r="O49" i="6"/>
  <c r="O45" i="6"/>
  <c r="O41" i="6"/>
  <c r="O35" i="6"/>
  <c r="O31" i="6"/>
  <c r="O27" i="6"/>
  <c r="O23" i="6"/>
  <c r="O19" i="6"/>
  <c r="N115" i="5"/>
  <c r="R23" i="4"/>
  <c r="R13" i="4"/>
  <c r="Y15" i="5"/>
  <c r="N15" i="5"/>
  <c r="I16" i="5"/>
  <c r="Y11" i="5"/>
  <c r="Y12" i="5"/>
  <c r="N11" i="5"/>
  <c r="N116" i="5"/>
  <c r="Y116" i="5"/>
  <c r="N114" i="5"/>
  <c r="Y114" i="5"/>
  <c r="N112" i="5"/>
  <c r="Y112" i="5"/>
  <c r="Y111" i="5"/>
  <c r="N110" i="5"/>
  <c r="Y110" i="5"/>
  <c r="Y109" i="5"/>
  <c r="N108" i="5"/>
  <c r="Y108" i="5"/>
  <c r="Y107" i="5"/>
  <c r="N106" i="5"/>
  <c r="Y106" i="5"/>
  <c r="Y105" i="5"/>
  <c r="N104" i="5"/>
  <c r="Y104" i="5"/>
  <c r="Y103" i="5"/>
  <c r="N102" i="5"/>
  <c r="Y102" i="5"/>
  <c r="Y101" i="5"/>
  <c r="N100" i="5"/>
  <c r="Y100" i="5"/>
  <c r="Y99" i="5"/>
  <c r="N98" i="5"/>
  <c r="Y98" i="5"/>
  <c r="Y97" i="5"/>
  <c r="N96" i="5"/>
  <c r="Y96" i="5"/>
  <c r="Y95" i="5"/>
  <c r="N94" i="5"/>
  <c r="Y94" i="5"/>
  <c r="Y93" i="5"/>
  <c r="N92" i="5"/>
  <c r="Y14" i="5"/>
  <c r="N13" i="5"/>
  <c r="Y13" i="5"/>
  <c r="E4" i="107"/>
  <c r="H10" i="4"/>
  <c r="L10" i="4"/>
  <c r="D11" i="4"/>
  <c r="D15" i="4"/>
  <c r="D19" i="4"/>
  <c r="D23" i="4"/>
  <c r="D27" i="4"/>
  <c r="D12" i="4"/>
  <c r="D14" i="4"/>
  <c r="D16" i="4"/>
  <c r="D18" i="4"/>
  <c r="D20" i="4"/>
  <c r="D22" i="4"/>
  <c r="D24" i="4"/>
  <c r="D29" i="106"/>
  <c r="J29" i="106"/>
  <c r="D9" i="4"/>
  <c r="D13" i="4"/>
  <c r="D17" i="4"/>
  <c r="D21" i="4"/>
  <c r="D25" i="4"/>
  <c r="D10" i="4"/>
  <c r="D11" i="6"/>
  <c r="G11" i="6" s="1"/>
  <c r="C11" i="6"/>
  <c r="E11" i="6"/>
  <c r="D13" i="6"/>
  <c r="G13" i="6" s="1"/>
  <c r="C13" i="6"/>
  <c r="E13" i="6" s="1"/>
  <c r="C15" i="6"/>
  <c r="E15" i="6" s="1"/>
  <c r="D17" i="6"/>
  <c r="G17" i="6"/>
  <c r="D19" i="6"/>
  <c r="G19" i="6"/>
  <c r="C19" i="6"/>
  <c r="E19" i="6" s="1"/>
  <c r="D21" i="6"/>
  <c r="G21" i="6"/>
  <c r="C21" i="6"/>
  <c r="E21" i="6" s="1"/>
  <c r="D23" i="6"/>
  <c r="G23" i="6" s="1"/>
  <c r="C23" i="6"/>
  <c r="E23" i="6" s="1"/>
  <c r="D25" i="6"/>
  <c r="G25" i="6"/>
  <c r="C25" i="6"/>
  <c r="E25" i="6" s="1"/>
  <c r="D27" i="6"/>
  <c r="G27" i="6" s="1"/>
  <c r="C27" i="6"/>
  <c r="E27" i="6" s="1"/>
  <c r="D29" i="6"/>
  <c r="G29" i="6"/>
  <c r="C29" i="6"/>
  <c r="E29" i="6" s="1"/>
  <c r="D31" i="6"/>
  <c r="G31" i="6" s="1"/>
  <c r="C31" i="6"/>
  <c r="E31" i="6" s="1"/>
  <c r="D33" i="6"/>
  <c r="G33" i="6" s="1"/>
  <c r="C33" i="6"/>
  <c r="E33" i="6" s="1"/>
  <c r="D35" i="6"/>
  <c r="G35" i="6"/>
  <c r="C35" i="6"/>
  <c r="E35" i="6" s="1"/>
  <c r="G37" i="6"/>
  <c r="C37" i="6"/>
  <c r="E37" i="6" s="1"/>
  <c r="D39" i="6"/>
  <c r="G39" i="6" s="1"/>
  <c r="C39" i="6"/>
  <c r="E39" i="6" s="1"/>
  <c r="D41" i="6"/>
  <c r="G41" i="6" s="1"/>
  <c r="C41" i="6"/>
  <c r="E41" i="6" s="1"/>
  <c r="D43" i="6"/>
  <c r="G43" i="6"/>
  <c r="C43" i="6"/>
  <c r="E43" i="6" s="1"/>
  <c r="D45" i="6"/>
  <c r="G45" i="6"/>
  <c r="C45" i="6"/>
  <c r="E45" i="6" s="1"/>
  <c r="D47" i="6"/>
  <c r="G47" i="6" s="1"/>
  <c r="C47" i="6"/>
  <c r="E47" i="6" s="1"/>
  <c r="D49" i="6"/>
  <c r="G49" i="6"/>
  <c r="C49" i="6"/>
  <c r="E49" i="6" s="1"/>
  <c r="D51" i="6"/>
  <c r="G51" i="6" s="1"/>
  <c r="C51" i="6"/>
  <c r="E51" i="6" s="1"/>
  <c r="D53" i="6"/>
  <c r="G53" i="6"/>
  <c r="C53" i="6"/>
  <c r="E53" i="6" s="1"/>
  <c r="D55" i="6"/>
  <c r="G55" i="6" s="1"/>
  <c r="C55" i="6"/>
  <c r="E55" i="6" s="1"/>
  <c r="D57" i="6"/>
  <c r="G57" i="6" s="1"/>
  <c r="C57" i="6"/>
  <c r="E57" i="6" s="1"/>
  <c r="D59" i="6"/>
  <c r="G59" i="6"/>
  <c r="C59" i="6"/>
  <c r="E59" i="6" s="1"/>
  <c r="C61" i="6"/>
  <c r="E61" i="6" s="1"/>
  <c r="D63" i="6"/>
  <c r="G63" i="6" s="1"/>
  <c r="C63" i="6"/>
  <c r="E63" i="6" s="1"/>
  <c r="D65" i="6"/>
  <c r="G65" i="6" s="1"/>
  <c r="D67" i="6"/>
  <c r="G67" i="6" s="1"/>
  <c r="C67" i="6"/>
  <c r="E67" i="6" s="1"/>
  <c r="D69" i="6"/>
  <c r="G69" i="6"/>
  <c r="C69" i="6"/>
  <c r="E69" i="6" s="1"/>
  <c r="D71" i="6"/>
  <c r="G71" i="6" s="1"/>
  <c r="C71" i="6"/>
  <c r="E71" i="6" s="1"/>
  <c r="D73" i="6"/>
  <c r="G73" i="6" s="1"/>
  <c r="C73" i="6"/>
  <c r="E73" i="6" s="1"/>
  <c r="D75" i="6"/>
  <c r="G75" i="6"/>
  <c r="C75" i="6"/>
  <c r="E75" i="6" s="1"/>
  <c r="D78" i="6"/>
  <c r="G78" i="6"/>
  <c r="C78" i="6"/>
  <c r="E78" i="6" s="1"/>
  <c r="D80" i="6"/>
  <c r="G80" i="6" s="1"/>
  <c r="C80" i="6"/>
  <c r="E80" i="6" s="1"/>
  <c r="C82" i="6"/>
  <c r="E82" i="6"/>
  <c r="D84" i="6"/>
  <c r="G84" i="6"/>
  <c r="C84" i="6"/>
  <c r="E84" i="6" s="1"/>
  <c r="D86" i="6"/>
  <c r="G86" i="6"/>
  <c r="C86" i="6"/>
  <c r="E86" i="6" s="1"/>
  <c r="D88" i="6"/>
  <c r="G88" i="6" s="1"/>
  <c r="C88" i="6"/>
  <c r="E88" i="6" s="1"/>
  <c r="C90" i="6"/>
  <c r="E90" i="6"/>
  <c r="D90" i="6"/>
  <c r="G90" i="6" s="1"/>
  <c r="D92" i="6"/>
  <c r="G92" i="6" s="1"/>
  <c r="C92" i="6"/>
  <c r="E92" i="6" s="1"/>
  <c r="C94" i="6"/>
  <c r="E94" i="6"/>
  <c r="D94" i="6"/>
  <c r="G94" i="6" s="1"/>
  <c r="D96" i="6"/>
  <c r="G96" i="6" s="1"/>
  <c r="C98" i="6"/>
  <c r="E98" i="6" s="1"/>
  <c r="D98" i="6"/>
  <c r="G98" i="6" s="1"/>
  <c r="D100" i="6"/>
  <c r="G100" i="6"/>
  <c r="C100" i="6"/>
  <c r="E100" i="6" s="1"/>
  <c r="D104" i="6"/>
  <c r="G104" i="6" s="1"/>
  <c r="C104" i="6"/>
  <c r="E104" i="6" s="1"/>
  <c r="C106" i="6"/>
  <c r="E106" i="6" s="1"/>
  <c r="D108" i="6"/>
  <c r="G108" i="6" s="1"/>
  <c r="C108" i="6"/>
  <c r="E108" i="6" s="1"/>
  <c r="E110" i="6"/>
  <c r="D110" i="6"/>
  <c r="G110" i="6" s="1"/>
  <c r="D112" i="6"/>
  <c r="G112" i="6" s="1"/>
  <c r="C112" i="6"/>
  <c r="E112" i="6" s="1"/>
  <c r="C114" i="6"/>
  <c r="E114" i="6"/>
  <c r="D114" i="6"/>
  <c r="G114" i="6" s="1"/>
  <c r="D116" i="6"/>
  <c r="G116" i="6" s="1"/>
  <c r="C116" i="6"/>
  <c r="E116" i="6" s="1"/>
  <c r="A5" i="107"/>
  <c r="A7" i="107"/>
  <c r="A11" i="107"/>
  <c r="A15" i="107"/>
  <c r="A19" i="107"/>
  <c r="A21" i="107"/>
  <c r="A16" i="4"/>
  <c r="A24" i="4"/>
  <c r="A28" i="4"/>
  <c r="D14" i="6"/>
  <c r="G14" i="6" s="1"/>
  <c r="C14" i="6"/>
  <c r="E14" i="6"/>
  <c r="C16" i="6"/>
  <c r="E16" i="6"/>
  <c r="G18" i="6"/>
  <c r="C18" i="6"/>
  <c r="E18" i="6" s="1"/>
  <c r="G20" i="6"/>
  <c r="C20" i="6"/>
  <c r="E20" i="6" s="1"/>
  <c r="G22" i="6"/>
  <c r="C22" i="6"/>
  <c r="E22" i="6"/>
  <c r="D24" i="6"/>
  <c r="G24" i="6"/>
  <c r="C24" i="6"/>
  <c r="E24" i="6"/>
  <c r="G26" i="6"/>
  <c r="C26" i="6"/>
  <c r="E26" i="6"/>
  <c r="D28" i="6"/>
  <c r="G28" i="6"/>
  <c r="C28" i="6"/>
  <c r="E28" i="6"/>
  <c r="G30" i="6"/>
  <c r="C30" i="6"/>
  <c r="E30" i="6" s="1"/>
  <c r="G32" i="6"/>
  <c r="C32" i="6"/>
  <c r="E32" i="6"/>
  <c r="C34" i="6"/>
  <c r="E34" i="6"/>
  <c r="D38" i="6"/>
  <c r="G38" i="6"/>
  <c r="C38" i="6"/>
  <c r="E38" i="6"/>
  <c r="G40" i="6"/>
  <c r="C40" i="6"/>
  <c r="E40" i="6" s="1"/>
  <c r="G42" i="6"/>
  <c r="C42" i="6"/>
  <c r="E42" i="6" s="1"/>
  <c r="D44" i="6"/>
  <c r="G44" i="6"/>
  <c r="C44" i="6"/>
  <c r="E44" i="6" s="1"/>
  <c r="D46" i="6"/>
  <c r="G46" i="6"/>
  <c r="C46" i="6"/>
  <c r="E46" i="6" s="1"/>
  <c r="D48" i="6"/>
  <c r="G48" i="6"/>
  <c r="C48" i="6"/>
  <c r="E48" i="6" s="1"/>
  <c r="D50" i="6"/>
  <c r="G50" i="6"/>
  <c r="C50" i="6"/>
  <c r="E50" i="6" s="1"/>
  <c r="D52" i="6"/>
  <c r="G52" i="6"/>
  <c r="C52" i="6"/>
  <c r="E52" i="6" s="1"/>
  <c r="D54" i="6"/>
  <c r="G54" i="6"/>
  <c r="C54" i="6"/>
  <c r="E54" i="6" s="1"/>
  <c r="D56" i="6"/>
  <c r="G56" i="6"/>
  <c r="C56" i="6"/>
  <c r="E56" i="6" s="1"/>
  <c r="D58" i="6"/>
  <c r="G58" i="6"/>
  <c r="C58" i="6"/>
  <c r="E58" i="6" s="1"/>
  <c r="D60" i="6"/>
  <c r="G60" i="6"/>
  <c r="C60" i="6"/>
  <c r="E60" i="6" s="1"/>
  <c r="D62" i="6"/>
  <c r="G62" i="6"/>
  <c r="C62" i="6"/>
  <c r="E62" i="6" s="1"/>
  <c r="D64" i="6"/>
  <c r="G64" i="6"/>
  <c r="C64" i="6"/>
  <c r="E64" i="6" s="1"/>
  <c r="D66" i="6"/>
  <c r="G66" i="6"/>
  <c r="C66" i="6"/>
  <c r="E66" i="6" s="1"/>
  <c r="D68" i="6"/>
  <c r="G68" i="6"/>
  <c r="C68" i="6"/>
  <c r="E68" i="6" s="1"/>
  <c r="C70" i="6"/>
  <c r="E70" i="6" s="1"/>
  <c r="D72" i="6"/>
  <c r="G72" i="6"/>
  <c r="C72" i="6"/>
  <c r="E72" i="6" s="1"/>
  <c r="E74" i="6"/>
  <c r="G76" i="6"/>
  <c r="C76" i="6"/>
  <c r="E76" i="6" s="1"/>
  <c r="C77" i="6"/>
  <c r="E77" i="6"/>
  <c r="D77" i="6"/>
  <c r="G77" i="6" s="1"/>
  <c r="G79" i="6"/>
  <c r="C79" i="6"/>
  <c r="E79" i="6" s="1"/>
  <c r="D81" i="6"/>
  <c r="G81" i="6"/>
  <c r="C81" i="6"/>
  <c r="E81" i="6" s="1"/>
  <c r="G83" i="6"/>
  <c r="C83" i="6"/>
  <c r="E83" i="6"/>
  <c r="C85" i="6"/>
  <c r="E85" i="6"/>
  <c r="D85" i="6"/>
  <c r="G85" i="6"/>
  <c r="C89" i="6"/>
  <c r="E89" i="6" s="1"/>
  <c r="G91" i="6"/>
  <c r="C91" i="6"/>
  <c r="E91" i="6" s="1"/>
  <c r="D93" i="6"/>
  <c r="G93" i="6"/>
  <c r="C93" i="6"/>
  <c r="E93" i="6" s="1"/>
  <c r="D95" i="6"/>
  <c r="G95" i="6"/>
  <c r="C95" i="6"/>
  <c r="E95" i="6" s="1"/>
  <c r="D97" i="6"/>
  <c r="G97" i="6"/>
  <c r="C97" i="6"/>
  <c r="E97" i="6" s="1"/>
  <c r="D99" i="6"/>
  <c r="G99" i="6"/>
  <c r="C99" i="6"/>
  <c r="E99" i="6" s="1"/>
  <c r="D101" i="6"/>
  <c r="G101" i="6"/>
  <c r="C101" i="6"/>
  <c r="E101" i="6" s="1"/>
  <c r="D103" i="6"/>
  <c r="G103" i="6"/>
  <c r="C103" i="6"/>
  <c r="E103" i="6" s="1"/>
  <c r="C105" i="6"/>
  <c r="E105" i="6" s="1"/>
  <c r="D107" i="6"/>
  <c r="G107" i="6"/>
  <c r="C107" i="6"/>
  <c r="E107" i="6" s="1"/>
  <c r="G109" i="6"/>
  <c r="C109" i="6"/>
  <c r="E109" i="6"/>
  <c r="D111" i="6"/>
  <c r="G111" i="6"/>
  <c r="C111" i="6"/>
  <c r="E111" i="6"/>
  <c r="D113" i="6"/>
  <c r="G113" i="6"/>
  <c r="C113" i="6"/>
  <c r="E113" i="6"/>
  <c r="D115" i="6"/>
  <c r="G115" i="6"/>
  <c r="C115" i="6"/>
  <c r="E115" i="6"/>
  <c r="K12" i="5"/>
  <c r="K13" i="5"/>
  <c r="I17" i="5"/>
  <c r="Y16" i="5"/>
  <c r="N16" i="5"/>
  <c r="K9" i="4" a="1"/>
  <c r="K9" i="4" s="1"/>
  <c r="D26" i="4"/>
  <c r="D28" i="4"/>
  <c r="K14" i="5"/>
  <c r="J7" i="6"/>
  <c r="A6" i="108"/>
  <c r="A9" i="108"/>
  <c r="A13" i="108"/>
  <c r="A17" i="108"/>
  <c r="A19" i="108"/>
  <c r="A23" i="108"/>
  <c r="A27" i="108"/>
  <c r="A30" i="108"/>
  <c r="A34" i="108"/>
  <c r="A38" i="108"/>
  <c r="A41" i="108"/>
  <c r="A44" i="108"/>
  <c r="A47" i="108"/>
  <c r="A49" i="108"/>
  <c r="A52" i="108"/>
  <c r="A55" i="108"/>
  <c r="A57" i="108"/>
  <c r="A60" i="108"/>
  <c r="A63" i="108"/>
  <c r="A65" i="108"/>
  <c r="A68" i="108"/>
  <c r="A71" i="108"/>
  <c r="A73" i="108"/>
  <c r="A76" i="108"/>
  <c r="A79" i="108"/>
  <c r="A81" i="108"/>
  <c r="A84" i="108"/>
  <c r="A87" i="108"/>
  <c r="A89" i="108"/>
  <c r="A92" i="108"/>
  <c r="A95" i="108"/>
  <c r="A97" i="108"/>
  <c r="A100" i="108"/>
  <c r="A103" i="108"/>
  <c r="A105" i="108"/>
  <c r="A108" i="108"/>
  <c r="I113" i="6"/>
  <c r="I107" i="6"/>
  <c r="I101" i="6"/>
  <c r="I97" i="6"/>
  <c r="I91" i="6"/>
  <c r="I85" i="6"/>
  <c r="I81" i="6"/>
  <c r="I75" i="6"/>
  <c r="I69" i="6"/>
  <c r="I65" i="6"/>
  <c r="I59" i="6"/>
  <c r="I53" i="6"/>
  <c r="I49" i="6"/>
  <c r="I43" i="6"/>
  <c r="I37" i="6"/>
  <c r="I33" i="6"/>
  <c r="I27" i="6"/>
  <c r="I21" i="6"/>
  <c r="I17" i="6"/>
  <c r="I116" i="6"/>
  <c r="I112" i="6"/>
  <c r="I106" i="6"/>
  <c r="I100" i="6"/>
  <c r="I96" i="6"/>
  <c r="I90" i="6"/>
  <c r="I84" i="6"/>
  <c r="I80" i="6"/>
  <c r="I74" i="6"/>
  <c r="I68" i="6"/>
  <c r="I64" i="6"/>
  <c r="I58" i="6"/>
  <c r="I52" i="6"/>
  <c r="I48" i="6"/>
  <c r="I42" i="6"/>
  <c r="I36" i="6"/>
  <c r="I32" i="6"/>
  <c r="I26" i="6"/>
  <c r="I20" i="6"/>
  <c r="I16" i="6"/>
  <c r="Y17" i="5"/>
  <c r="N17" i="5"/>
  <c r="I18" i="5"/>
  <c r="H113" i="6"/>
  <c r="H109" i="6"/>
  <c r="H103" i="6"/>
  <c r="H97" i="6"/>
  <c r="H93" i="6"/>
  <c r="H87" i="6"/>
  <c r="H81" i="6"/>
  <c r="H77" i="6"/>
  <c r="H71" i="6"/>
  <c r="H65" i="6"/>
  <c r="H61" i="6"/>
  <c r="H55" i="6"/>
  <c r="H49" i="6"/>
  <c r="H45" i="6"/>
  <c r="H39" i="6"/>
  <c r="H33" i="6"/>
  <c r="H29" i="6"/>
  <c r="H23" i="6"/>
  <c r="H17" i="6"/>
  <c r="H11" i="6"/>
  <c r="P11" i="6" s="1"/>
  <c r="H114" i="6"/>
  <c r="H108" i="6"/>
  <c r="H104" i="6"/>
  <c r="H98" i="6"/>
  <c r="H92" i="6"/>
  <c r="H88" i="6"/>
  <c r="H82" i="6"/>
  <c r="H76" i="6"/>
  <c r="H72" i="6"/>
  <c r="H66" i="6"/>
  <c r="H60" i="6"/>
  <c r="H56" i="6"/>
  <c r="H50" i="6"/>
  <c r="H44" i="6"/>
  <c r="H40" i="6"/>
  <c r="H34" i="6"/>
  <c r="H28" i="6"/>
  <c r="H24" i="6"/>
  <c r="H18" i="6"/>
  <c r="K15" i="5"/>
  <c r="I19" i="5"/>
  <c r="Y18" i="5"/>
  <c r="N18" i="5"/>
  <c r="E35" i="5" a="1"/>
  <c r="E35" i="5" s="1"/>
  <c r="G50" i="5" a="1"/>
  <c r="G50" i="5" s="1"/>
  <c r="U50" i="5" s="1"/>
  <c r="G106" i="5" a="1"/>
  <c r="G106" i="5" s="1"/>
  <c r="U106" i="5" s="1"/>
  <c r="G41" i="5" a="1"/>
  <c r="G41" i="5"/>
  <c r="U41" i="5" s="1"/>
  <c r="E107" i="5" a="1"/>
  <c r="E107" i="5"/>
  <c r="O107" i="5" s="1"/>
  <c r="G12" i="5" a="1"/>
  <c r="G12" i="5"/>
  <c r="U12" i="5" s="1"/>
  <c r="E44" i="5" a="1"/>
  <c r="E44" i="5"/>
  <c r="G72" i="5" a="1"/>
  <c r="G72" i="5" s="1"/>
  <c r="U72" i="5" s="1"/>
  <c r="E92" i="5" a="1"/>
  <c r="E92" i="5" s="1"/>
  <c r="G96" i="5" a="1"/>
  <c r="G96" i="5" s="1"/>
  <c r="U96" i="5" s="1"/>
  <c r="G116" i="5" a="1"/>
  <c r="G116" i="5"/>
  <c r="U116" i="5" s="1"/>
  <c r="K16" i="5"/>
  <c r="H16" i="6"/>
  <c r="C15" i="5"/>
  <c r="C31" i="5"/>
  <c r="C47" i="5"/>
  <c r="C63" i="5"/>
  <c r="C79" i="5"/>
  <c r="C95" i="5"/>
  <c r="C111" i="5"/>
  <c r="C25" i="5"/>
  <c r="C41" i="5"/>
  <c r="C57" i="5"/>
  <c r="C73" i="5"/>
  <c r="C89" i="5"/>
  <c r="C11" i="5"/>
  <c r="O11" i="6"/>
  <c r="C27" i="5"/>
  <c r="C43" i="5"/>
  <c r="C59" i="5"/>
  <c r="C75" i="5"/>
  <c r="C91" i="5"/>
  <c r="C107" i="5"/>
  <c r="C21" i="5"/>
  <c r="C37" i="5"/>
  <c r="C53" i="5"/>
  <c r="C69" i="5"/>
  <c r="C85" i="5"/>
  <c r="C101" i="5"/>
  <c r="C109" i="5"/>
  <c r="C12" i="5"/>
  <c r="O12" i="6"/>
  <c r="C16" i="5"/>
  <c r="D16" i="6"/>
  <c r="G16" i="6"/>
  <c r="C20" i="5"/>
  <c r="C24" i="5"/>
  <c r="C28" i="5"/>
  <c r="C32" i="5"/>
  <c r="C36" i="5"/>
  <c r="C40" i="5"/>
  <c r="C44" i="5"/>
  <c r="C48" i="5"/>
  <c r="C52" i="5"/>
  <c r="C56" i="5"/>
  <c r="C60" i="5"/>
  <c r="C64" i="5"/>
  <c r="C68" i="5"/>
  <c r="C72" i="5"/>
  <c r="C76" i="5"/>
  <c r="C80" i="5"/>
  <c r="C84" i="5"/>
  <c r="C88" i="5"/>
  <c r="C92" i="5"/>
  <c r="C96" i="5"/>
  <c r="C100" i="5"/>
  <c r="C104" i="5"/>
  <c r="C108" i="5"/>
  <c r="C112" i="5"/>
  <c r="C116" i="5"/>
  <c r="C115" i="5"/>
  <c r="C23" i="5"/>
  <c r="C39" i="5"/>
  <c r="C55" i="5"/>
  <c r="C71" i="5"/>
  <c r="C87" i="5"/>
  <c r="C103" i="5"/>
  <c r="C17" i="5"/>
  <c r="C33" i="5"/>
  <c r="C49" i="5"/>
  <c r="C65" i="5"/>
  <c r="C81" i="5"/>
  <c r="C97" i="5"/>
  <c r="C19" i="5"/>
  <c r="C35" i="5"/>
  <c r="C51" i="5"/>
  <c r="C67" i="5"/>
  <c r="C83" i="5"/>
  <c r="C99" i="5"/>
  <c r="C13" i="5"/>
  <c r="O13" i="6"/>
  <c r="C29" i="5"/>
  <c r="C45" i="5"/>
  <c r="C61" i="5"/>
  <c r="C77" i="5"/>
  <c r="C93" i="5"/>
  <c r="C105" i="5"/>
  <c r="C113" i="5"/>
  <c r="O14" i="6"/>
  <c r="C14" i="5"/>
  <c r="C18" i="5"/>
  <c r="C22" i="5"/>
  <c r="C26" i="5"/>
  <c r="C30" i="5"/>
  <c r="C34" i="5"/>
  <c r="C38" i="5"/>
  <c r="C42" i="5"/>
  <c r="C46" i="5"/>
  <c r="C50" i="5"/>
  <c r="C54" i="5"/>
  <c r="C58" i="5"/>
  <c r="C62" i="5"/>
  <c r="C66" i="5"/>
  <c r="C70" i="5"/>
  <c r="C74" i="5"/>
  <c r="C78" i="5"/>
  <c r="C82" i="5"/>
  <c r="C86" i="5"/>
  <c r="C90" i="5"/>
  <c r="C94" i="5"/>
  <c r="C98" i="5"/>
  <c r="C102" i="5"/>
  <c r="C106" i="5"/>
  <c r="C110" i="5"/>
  <c r="C114" i="5"/>
  <c r="S44" i="5"/>
  <c r="S35" i="5"/>
  <c r="Y19" i="5"/>
  <c r="N19" i="5"/>
  <c r="I20" i="5"/>
  <c r="AA44" i="5"/>
  <c r="AC13" i="5"/>
  <c r="AC14" i="5" s="1"/>
  <c r="AC15" i="5" s="1"/>
  <c r="AC16" i="5" s="1"/>
  <c r="AC17" i="5"/>
  <c r="AC18" i="5"/>
  <c r="AC19" i="5" s="1"/>
  <c r="K17" i="5"/>
  <c r="H13" i="6"/>
  <c r="Y20" i="5"/>
  <c r="N20" i="5"/>
  <c r="I21" i="5"/>
  <c r="K18" i="5"/>
  <c r="Y21" i="5"/>
  <c r="N21" i="5"/>
  <c r="I22" i="5"/>
  <c r="K19" i="5"/>
  <c r="Y22" i="5"/>
  <c r="N22" i="5"/>
  <c r="I23" i="5"/>
  <c r="K20" i="5"/>
  <c r="I13" i="6"/>
  <c r="I24" i="5"/>
  <c r="Y23" i="5"/>
  <c r="N23" i="5"/>
  <c r="K21" i="5"/>
  <c r="I25" i="5"/>
  <c r="Y24" i="5"/>
  <c r="N24" i="5"/>
  <c r="K22" i="5"/>
  <c r="I26" i="5"/>
  <c r="Y25" i="5"/>
  <c r="N25" i="5"/>
  <c r="K23" i="5"/>
  <c r="Y26" i="5"/>
  <c r="N26" i="5"/>
  <c r="I27" i="5"/>
  <c r="K24" i="5"/>
  <c r="I28" i="5"/>
  <c r="Y27" i="5"/>
  <c r="N27" i="5"/>
  <c r="K25" i="5"/>
  <c r="Y28" i="5"/>
  <c r="N28" i="5"/>
  <c r="I29" i="5"/>
  <c r="K26" i="5"/>
  <c r="I30" i="5"/>
  <c r="Y29" i="5"/>
  <c r="N29" i="5"/>
  <c r="K27" i="5"/>
  <c r="Y30" i="5"/>
  <c r="N30" i="5"/>
  <c r="I31" i="5"/>
  <c r="K28" i="5"/>
  <c r="I32" i="5"/>
  <c r="Y31" i="5"/>
  <c r="N31" i="5"/>
  <c r="K29" i="5"/>
  <c r="Y32" i="5"/>
  <c r="N32" i="5"/>
  <c r="I33" i="5"/>
  <c r="K30" i="5"/>
  <c r="I34" i="5"/>
  <c r="Y33" i="5"/>
  <c r="N33" i="5"/>
  <c r="K31" i="5"/>
  <c r="Y34" i="5"/>
  <c r="N34" i="5"/>
  <c r="I35" i="5"/>
  <c r="K32" i="5"/>
  <c r="I36" i="5"/>
  <c r="Y35" i="5"/>
  <c r="N35" i="5"/>
  <c r="K33" i="5"/>
  <c r="Y36" i="5"/>
  <c r="N36" i="5"/>
  <c r="I37" i="5"/>
  <c r="K34" i="5"/>
  <c r="I38" i="5"/>
  <c r="Y37" i="5"/>
  <c r="N37" i="5"/>
  <c r="K35" i="5"/>
  <c r="Y38" i="5"/>
  <c r="N38" i="5"/>
  <c r="I39" i="5"/>
  <c r="K36" i="5"/>
  <c r="I40" i="5"/>
  <c r="Y39" i="5"/>
  <c r="N39" i="5"/>
  <c r="K37" i="5"/>
  <c r="Y40" i="5"/>
  <c r="N40" i="5"/>
  <c r="I41" i="5"/>
  <c r="K38" i="5"/>
  <c r="I42" i="5"/>
  <c r="Y41" i="5"/>
  <c r="N41" i="5"/>
  <c r="K39" i="5"/>
  <c r="Y42" i="5"/>
  <c r="N42" i="5"/>
  <c r="I43" i="5"/>
  <c r="K40" i="5"/>
  <c r="I44" i="5"/>
  <c r="Y43" i="5"/>
  <c r="N43" i="5"/>
  <c r="K41" i="5"/>
  <c r="Y44" i="5"/>
  <c r="N44" i="5"/>
  <c r="I45" i="5"/>
  <c r="K42" i="5"/>
  <c r="I46" i="5"/>
  <c r="Y45" i="5"/>
  <c r="N45" i="5"/>
  <c r="K43" i="5"/>
  <c r="Y46" i="5"/>
  <c r="N46" i="5"/>
  <c r="I47" i="5"/>
  <c r="K44" i="5"/>
  <c r="I48" i="5"/>
  <c r="Y47" i="5"/>
  <c r="N47" i="5"/>
  <c r="K45" i="5"/>
  <c r="Y48" i="5"/>
  <c r="N48" i="5"/>
  <c r="I49" i="5"/>
  <c r="K46" i="5"/>
  <c r="I50" i="5"/>
  <c r="Y49" i="5"/>
  <c r="N49" i="5"/>
  <c r="K47" i="5"/>
  <c r="Y50" i="5"/>
  <c r="N50" i="5"/>
  <c r="I51" i="5"/>
  <c r="K48" i="5"/>
  <c r="I52" i="5"/>
  <c r="Y51" i="5"/>
  <c r="N51" i="5"/>
  <c r="K49" i="5"/>
  <c r="Y52" i="5"/>
  <c r="N52" i="5"/>
  <c r="I53" i="5"/>
  <c r="K50" i="5"/>
  <c r="I54" i="5"/>
  <c r="Y53" i="5"/>
  <c r="N53" i="5"/>
  <c r="K51" i="5"/>
  <c r="Y54" i="5"/>
  <c r="N54" i="5"/>
  <c r="I55" i="5"/>
  <c r="K52" i="5"/>
  <c r="I56" i="5"/>
  <c r="Y55" i="5"/>
  <c r="N55" i="5"/>
  <c r="K53" i="5"/>
  <c r="Y56" i="5"/>
  <c r="N56" i="5"/>
  <c r="I57" i="5"/>
  <c r="K54" i="5"/>
  <c r="I58" i="5"/>
  <c r="Y57" i="5"/>
  <c r="N57" i="5"/>
  <c r="K55" i="5"/>
  <c r="Y58" i="5"/>
  <c r="N58" i="5"/>
  <c r="I59" i="5"/>
  <c r="K56" i="5"/>
  <c r="I60" i="5"/>
  <c r="Y59" i="5"/>
  <c r="N59" i="5"/>
  <c r="K57" i="5"/>
  <c r="Y60" i="5"/>
  <c r="N60" i="5"/>
  <c r="I61" i="5"/>
  <c r="K58" i="5"/>
  <c r="I62" i="5"/>
  <c r="Y61" i="5"/>
  <c r="N61" i="5"/>
  <c r="K59" i="5"/>
  <c r="Y62" i="5"/>
  <c r="N62" i="5"/>
  <c r="I63" i="5"/>
  <c r="K60" i="5"/>
  <c r="I64" i="5"/>
  <c r="Y63" i="5"/>
  <c r="N63" i="5"/>
  <c r="K61" i="5"/>
  <c r="Y64" i="5"/>
  <c r="N64" i="5"/>
  <c r="I65" i="5"/>
  <c r="K62" i="5"/>
  <c r="I66" i="5"/>
  <c r="Y65" i="5"/>
  <c r="N65" i="5"/>
  <c r="K63" i="5"/>
  <c r="Y66" i="5"/>
  <c r="N66" i="5"/>
  <c r="I67" i="5"/>
  <c r="K64" i="5"/>
  <c r="I68" i="5"/>
  <c r="Y67" i="5"/>
  <c r="N67" i="5"/>
  <c r="K65" i="5"/>
  <c r="Y68" i="5"/>
  <c r="N68" i="5"/>
  <c r="I69" i="5"/>
  <c r="K66" i="5"/>
  <c r="I70" i="5"/>
  <c r="Y69" i="5"/>
  <c r="N69" i="5"/>
  <c r="K67" i="5"/>
  <c r="Y70" i="5"/>
  <c r="N70" i="5"/>
  <c r="I71" i="5"/>
  <c r="K68" i="5"/>
  <c r="I72" i="5"/>
  <c r="Y71" i="5"/>
  <c r="N71" i="5"/>
  <c r="K69" i="5"/>
  <c r="Y72" i="5"/>
  <c r="N72" i="5"/>
  <c r="I73" i="5"/>
  <c r="K70" i="5"/>
  <c r="I74" i="5"/>
  <c r="Y73" i="5"/>
  <c r="N73" i="5"/>
  <c r="K71" i="5"/>
  <c r="Y74" i="5"/>
  <c r="N74" i="5"/>
  <c r="I75" i="5"/>
  <c r="K72" i="5"/>
  <c r="I76" i="5"/>
  <c r="I77" i="5"/>
  <c r="Y75" i="5"/>
  <c r="N75" i="5"/>
  <c r="K73" i="5"/>
  <c r="I78" i="5"/>
  <c r="Y76" i="5"/>
  <c r="N76" i="5"/>
  <c r="Y77" i="5"/>
  <c r="K74" i="5"/>
  <c r="N77" i="5"/>
  <c r="I79" i="5"/>
  <c r="Y78" i="5"/>
  <c r="N78" i="5"/>
  <c r="K75" i="5"/>
  <c r="I80" i="5"/>
  <c r="Y79" i="5"/>
  <c r="N79" i="5"/>
  <c r="K76" i="5"/>
  <c r="I81" i="5"/>
  <c r="Y80" i="5"/>
  <c r="N80" i="5"/>
  <c r="K77" i="5"/>
  <c r="I82" i="5"/>
  <c r="Y81" i="5"/>
  <c r="N81" i="5"/>
  <c r="K78" i="5"/>
  <c r="I83" i="5"/>
  <c r="Y82" i="5"/>
  <c r="N82" i="5"/>
  <c r="K79" i="5"/>
  <c r="I84" i="5"/>
  <c r="Y83" i="5"/>
  <c r="N83" i="5"/>
  <c r="K80" i="5"/>
  <c r="I85" i="5"/>
  <c r="Y84" i="5"/>
  <c r="N84" i="5"/>
  <c r="K81" i="5"/>
  <c r="Y85" i="5"/>
  <c r="N85" i="5"/>
  <c r="I86" i="5"/>
  <c r="I87" i="5"/>
  <c r="K82" i="5"/>
  <c r="I88" i="5"/>
  <c r="Y86" i="5"/>
  <c r="Y87" i="5"/>
  <c r="K83" i="5"/>
  <c r="N87" i="5"/>
  <c r="N86" i="5"/>
  <c r="I89" i="5"/>
  <c r="Y88" i="5"/>
  <c r="N88" i="5"/>
  <c r="K84" i="5"/>
  <c r="I90" i="5"/>
  <c r="Y89" i="5"/>
  <c r="N89" i="5"/>
  <c r="K85" i="5"/>
  <c r="I91" i="5"/>
  <c r="Y90" i="5"/>
  <c r="N90" i="5"/>
  <c r="K86" i="5"/>
  <c r="Y92" i="5"/>
  <c r="Y91" i="5"/>
  <c r="N91" i="5"/>
  <c r="K87" i="5"/>
  <c r="K88" i="5"/>
  <c r="K89" i="5"/>
  <c r="K90" i="5"/>
  <c r="K91" i="5"/>
  <c r="K92" i="5"/>
  <c r="O92" i="5"/>
  <c r="K93" i="5"/>
  <c r="K94" i="5"/>
  <c r="K95" i="5"/>
  <c r="K96" i="5"/>
  <c r="K97" i="5"/>
  <c r="K98" i="5"/>
  <c r="K99" i="5"/>
  <c r="K100" i="5"/>
  <c r="K101" i="5"/>
  <c r="K102" i="5"/>
  <c r="K103" i="5"/>
  <c r="K104" i="5"/>
  <c r="K105" i="5"/>
  <c r="K106" i="5"/>
  <c r="K107" i="5"/>
  <c r="K108" i="5"/>
  <c r="K109" i="5"/>
  <c r="K110" i="5"/>
  <c r="K111" i="5"/>
  <c r="K112" i="5"/>
  <c r="K113" i="5"/>
  <c r="K114" i="5"/>
  <c r="K115" i="5"/>
  <c r="K116" i="5"/>
  <c r="O104" i="5" l="1"/>
  <c r="O51" i="5"/>
  <c r="O73" i="5"/>
  <c r="AC20" i="5"/>
  <c r="AC21" i="5" s="1"/>
  <c r="AC22" i="5" s="1"/>
  <c r="AC23" i="5" s="1"/>
  <c r="AC24" i="5" s="1"/>
  <c r="AC25" i="5" s="1"/>
  <c r="AC26" i="5" s="1"/>
  <c r="AC27" i="5" s="1"/>
  <c r="AC28" i="5" s="1"/>
  <c r="AC29" i="5" s="1"/>
  <c r="AC30" i="5" s="1"/>
  <c r="AC31" i="5" s="1"/>
  <c r="AC32" i="5" s="1"/>
  <c r="AC33" i="5" s="1"/>
  <c r="AC34" i="5" s="1"/>
  <c r="AC35" i="5" s="1"/>
  <c r="AC36" i="5" s="1"/>
  <c r="AC37" i="5" s="1"/>
  <c r="AC38" i="5" s="1"/>
  <c r="AC39" i="5" s="1"/>
  <c r="AC40" i="5" s="1"/>
  <c r="AC41" i="5" s="1"/>
  <c r="AC42" i="5" s="1"/>
  <c r="AC43" i="5" s="1"/>
  <c r="AC44" i="5" s="1"/>
  <c r="AC45" i="5" s="1"/>
  <c r="AC46" i="5" s="1"/>
  <c r="AC47" i="5" s="1"/>
  <c r="AC48" i="5" s="1"/>
  <c r="AC49" i="5" s="1"/>
  <c r="AC50" i="5" s="1"/>
  <c r="AC51" i="5" s="1"/>
  <c r="AC52" i="5" s="1"/>
  <c r="AC53" i="5" s="1"/>
  <c r="AC54" i="5" s="1"/>
  <c r="AC55" i="5" s="1"/>
  <c r="AC56" i="5" s="1"/>
  <c r="AC57" i="5" s="1"/>
  <c r="AC58" i="5" s="1"/>
  <c r="AC59" i="5" s="1"/>
  <c r="AC60" i="5" s="1"/>
  <c r="AC61" i="5" s="1"/>
  <c r="AC62" i="5" s="1"/>
  <c r="AC63" i="5" s="1"/>
  <c r="AC64" i="5" s="1"/>
  <c r="AC65" i="5" s="1"/>
  <c r="AC66" i="5" s="1"/>
  <c r="AC67" i="5" s="1"/>
  <c r="AC68" i="5" s="1"/>
  <c r="AC69" i="5" s="1"/>
  <c r="AC70" i="5" s="1"/>
  <c r="AC71" i="5" s="1"/>
  <c r="AC72" i="5" s="1"/>
  <c r="AC73" i="5" s="1"/>
  <c r="AC74" i="5" s="1"/>
  <c r="AC75" i="5" s="1"/>
  <c r="AC76" i="5" s="1"/>
  <c r="AC77" i="5" s="1"/>
  <c r="AC78" i="5" s="1"/>
  <c r="AC79" i="5" s="1"/>
  <c r="AC80" i="5" s="1"/>
  <c r="AC81" i="5" s="1"/>
  <c r="AC82" i="5" s="1"/>
  <c r="AC83" i="5" s="1"/>
  <c r="AC84" i="5" s="1"/>
  <c r="AC85" i="5" s="1"/>
  <c r="AC86" i="5" s="1"/>
  <c r="AC87" i="5" s="1"/>
  <c r="AC88" i="5" s="1"/>
  <c r="AC89" i="5" s="1"/>
  <c r="AC90" i="5" s="1"/>
  <c r="AC91" i="5" s="1"/>
  <c r="AC92" i="5" s="1"/>
  <c r="AC93" i="5" s="1"/>
  <c r="AC94" i="5" s="1"/>
  <c r="AC95" i="5" s="1"/>
  <c r="AC96" i="5" s="1"/>
  <c r="AC97" i="5" s="1"/>
  <c r="AC98" i="5" s="1"/>
  <c r="AC99" i="5" s="1"/>
  <c r="AC100" i="5" s="1"/>
  <c r="AC101" i="5" s="1"/>
  <c r="AC102" i="5" s="1"/>
  <c r="AC103" i="5" s="1"/>
  <c r="AC104" i="5" s="1"/>
  <c r="AC105" i="5" s="1"/>
  <c r="AC106" i="5" s="1"/>
  <c r="AC107" i="5" s="1"/>
  <c r="AC108" i="5" s="1"/>
  <c r="AC109" i="5" s="1"/>
  <c r="AC110" i="5" s="1"/>
  <c r="AC111" i="5" s="1"/>
  <c r="AC112" i="5" s="1"/>
  <c r="AC113" i="5" s="1"/>
  <c r="AC114" i="5" s="1"/>
  <c r="AC115" i="5" s="1"/>
  <c r="AC116" i="5" s="1"/>
  <c r="O98" i="5"/>
  <c r="O50" i="5"/>
  <c r="D12" i="6"/>
  <c r="G12" i="6" s="1"/>
  <c r="C12" i="6"/>
  <c r="E12" i="6" s="1"/>
  <c r="D87" i="6"/>
  <c r="G87" i="6" s="1"/>
  <c r="C87" i="6"/>
  <c r="E87" i="6" s="1"/>
  <c r="E115" i="5" a="1"/>
  <c r="E115" i="5" s="1"/>
  <c r="E33" i="5" a="1"/>
  <c r="E33" i="5" s="1"/>
  <c r="E67" i="5" a="1"/>
  <c r="E67" i="5" s="1"/>
  <c r="E93" i="5" a="1"/>
  <c r="E93" i="5" s="1"/>
  <c r="E34" i="5" a="1"/>
  <c r="E34" i="5" s="1"/>
  <c r="E74" i="5" a="1"/>
  <c r="E74" i="5" s="1"/>
  <c r="E82" i="5" a="1"/>
  <c r="E82" i="5" s="1"/>
  <c r="E31" i="5" a="1"/>
  <c r="E31" i="5" s="1"/>
  <c r="E79" i="5" a="1"/>
  <c r="E79" i="5" s="1"/>
  <c r="E41" i="5" a="1"/>
  <c r="E41" i="5" s="1"/>
  <c r="E39" i="5" a="1"/>
  <c r="E39" i="5" s="1"/>
  <c r="E65" i="5" a="1"/>
  <c r="E65" i="5" s="1"/>
  <c r="E99" i="5" a="1"/>
  <c r="E99" i="5" s="1"/>
  <c r="E113" i="5" a="1"/>
  <c r="E113" i="5" s="1"/>
  <c r="E66" i="5" a="1"/>
  <c r="E66" i="5" s="1"/>
  <c r="E95" i="5" a="1"/>
  <c r="E95" i="5" s="1"/>
  <c r="O95" i="5" s="1"/>
  <c r="E57" i="5" a="1"/>
  <c r="E57" i="5" s="1"/>
  <c r="E27" i="5" a="1"/>
  <c r="E27" i="5" s="1"/>
  <c r="E21" i="5" a="1"/>
  <c r="E21" i="5" s="1"/>
  <c r="E53" i="5" a="1"/>
  <c r="E53" i="5" s="1"/>
  <c r="E69" i="5" a="1"/>
  <c r="E69" i="5" s="1"/>
  <c r="E12" i="5" a="1"/>
  <c r="E12" i="5" s="1"/>
  <c r="E16" i="5" a="1"/>
  <c r="E16" i="5" s="1"/>
  <c r="E20" i="5" a="1"/>
  <c r="E20" i="5" s="1"/>
  <c r="E24" i="5" a="1"/>
  <c r="E24" i="5" s="1"/>
  <c r="E28" i="5" a="1"/>
  <c r="E28" i="5" s="1"/>
  <c r="E36" i="5" a="1"/>
  <c r="E36" i="5" s="1"/>
  <c r="E40" i="5" a="1"/>
  <c r="E40" i="5" s="1"/>
  <c r="E48" i="5" a="1"/>
  <c r="E48" i="5" s="1"/>
  <c r="E52" i="5" a="1"/>
  <c r="E52" i="5" s="1"/>
  <c r="E56" i="5" a="1"/>
  <c r="E56" i="5" s="1"/>
  <c r="E60" i="5" a="1"/>
  <c r="E60" i="5" s="1"/>
  <c r="E97" i="5" a="1"/>
  <c r="E97" i="5" s="1"/>
  <c r="E47" i="5" a="1"/>
  <c r="E47" i="5" s="1"/>
  <c r="E73" i="5" a="1"/>
  <c r="E73" i="5" s="1"/>
  <c r="E72" i="5" a="1"/>
  <c r="E72" i="5" s="1"/>
  <c r="E96" i="5" a="1"/>
  <c r="E96" i="5" s="1"/>
  <c r="E112" i="5" a="1"/>
  <c r="E112" i="5" s="1"/>
  <c r="E103" i="5" a="1"/>
  <c r="E103" i="5" s="1"/>
  <c r="E61" i="5" a="1"/>
  <c r="E61" i="5" s="1"/>
  <c r="E25" i="5" a="1"/>
  <c r="E25" i="5" s="1"/>
  <c r="E11" i="5" a="1"/>
  <c r="E11" i="5" s="1"/>
  <c r="E59" i="5" a="1"/>
  <c r="E59" i="5" s="1"/>
  <c r="E91" i="5" a="1"/>
  <c r="E91" i="5" s="1"/>
  <c r="E85" i="5" a="1"/>
  <c r="E85" i="5" s="1"/>
  <c r="E109" i="5" a="1"/>
  <c r="E109" i="5" s="1"/>
  <c r="E32" i="5" a="1"/>
  <c r="E32" i="5" s="1"/>
  <c r="E64" i="5" a="1"/>
  <c r="E64" i="5" s="1"/>
  <c r="E68" i="5" a="1"/>
  <c r="E68" i="5" s="1"/>
  <c r="E76" i="5" a="1"/>
  <c r="E76" i="5" s="1"/>
  <c r="E84" i="5" a="1"/>
  <c r="E84" i="5" s="1"/>
  <c r="E100" i="5" a="1"/>
  <c r="E100" i="5" s="1"/>
  <c r="E116" i="5" a="1"/>
  <c r="E116" i="5" s="1"/>
  <c r="E29" i="5" a="1"/>
  <c r="E29" i="5" s="1"/>
  <c r="E111" i="5" a="1"/>
  <c r="E111" i="5" s="1"/>
  <c r="E89" i="5" a="1"/>
  <c r="E89" i="5" s="1"/>
  <c r="E80" i="5" a="1"/>
  <c r="E80" i="5" s="1"/>
  <c r="E88" i="5" a="1"/>
  <c r="E88" i="5" s="1"/>
  <c r="E75" i="5" a="1"/>
  <c r="E75" i="5" s="1"/>
  <c r="E37" i="5" a="1"/>
  <c r="E37" i="5" s="1"/>
  <c r="E101" i="5" a="1"/>
  <c r="E101" i="5" s="1"/>
  <c r="E108" i="5" a="1"/>
  <c r="E108" i="5" s="1"/>
  <c r="G17" i="5" a="1"/>
  <c r="G17" i="5" s="1"/>
  <c r="U17" i="5" s="1"/>
  <c r="G13" i="5" a="1"/>
  <c r="G13" i="5" s="1"/>
  <c r="U13" i="5" s="1"/>
  <c r="G14" i="5" a="1"/>
  <c r="G14" i="5" s="1"/>
  <c r="U14" i="5" s="1"/>
  <c r="G30" i="5" a="1"/>
  <c r="G30" i="5" s="1"/>
  <c r="U30" i="5" s="1"/>
  <c r="G46" i="5" a="1"/>
  <c r="G46" i="5" s="1"/>
  <c r="U46" i="5" s="1"/>
  <c r="G19" i="5" a="1"/>
  <c r="G19" i="5" s="1"/>
  <c r="U19" i="5" s="1"/>
  <c r="G22" i="5" a="1"/>
  <c r="G22" i="5" s="1"/>
  <c r="U22" i="5" s="1"/>
  <c r="G38" i="5" a="1"/>
  <c r="G38" i="5" s="1"/>
  <c r="U38" i="5" s="1"/>
  <c r="G54" i="5" a="1"/>
  <c r="G54" i="5" s="1"/>
  <c r="U54" i="5" s="1"/>
  <c r="G70" i="5" a="1"/>
  <c r="G70" i="5" s="1"/>
  <c r="U70" i="5" s="1"/>
  <c r="G86" i="5" a="1"/>
  <c r="G86" i="5" s="1"/>
  <c r="U86" i="5" s="1"/>
  <c r="G102" i="5" a="1"/>
  <c r="G102" i="5" s="1"/>
  <c r="U102" i="5" s="1"/>
  <c r="G15" i="5" a="1"/>
  <c r="G15" i="5" s="1"/>
  <c r="U15" i="5" s="1"/>
  <c r="G31" i="5" a="1"/>
  <c r="G31" i="5" s="1"/>
  <c r="U31" i="5" s="1"/>
  <c r="G110" i="5" a="1"/>
  <c r="G110" i="5" s="1"/>
  <c r="U110" i="5" s="1"/>
  <c r="G95" i="5" a="1"/>
  <c r="G95" i="5" s="1"/>
  <c r="U95" i="5" s="1"/>
  <c r="G57" i="5" a="1"/>
  <c r="G57" i="5" s="1"/>
  <c r="U57" i="5" s="1"/>
  <c r="G11" i="5" a="1"/>
  <c r="G11" i="5" s="1"/>
  <c r="U11" i="5" s="1"/>
  <c r="J11" i="5" s="1"/>
  <c r="J12" i="5" s="1"/>
  <c r="G27" i="5" a="1"/>
  <c r="G27" i="5" s="1"/>
  <c r="U27" i="5" s="1"/>
  <c r="G42" i="5" a="1"/>
  <c r="G42" i="5" s="1"/>
  <c r="U42" i="5" s="1"/>
  <c r="G58" i="5" a="1"/>
  <c r="G58" i="5" s="1"/>
  <c r="U58" i="5" s="1"/>
  <c r="G94" i="5" a="1"/>
  <c r="G94" i="5" s="1"/>
  <c r="U94" i="5" s="1"/>
  <c r="G47" i="5" a="1"/>
  <c r="G47" i="5" s="1"/>
  <c r="U47" i="5" s="1"/>
  <c r="G111" i="5" a="1"/>
  <c r="G111" i="5" s="1"/>
  <c r="U111" i="5" s="1"/>
  <c r="G73" i="5" a="1"/>
  <c r="G73" i="5" s="1"/>
  <c r="U73" i="5" s="1"/>
  <c r="G43" i="5" a="1"/>
  <c r="G43" i="5" s="1"/>
  <c r="U43" i="5" s="1"/>
  <c r="G59" i="5" a="1"/>
  <c r="G59" i="5" s="1"/>
  <c r="U59" i="5" s="1"/>
  <c r="G75" i="5" a="1"/>
  <c r="G75" i="5" s="1"/>
  <c r="U75" i="5" s="1"/>
  <c r="G91" i="5" a="1"/>
  <c r="G91" i="5" s="1"/>
  <c r="U91" i="5" s="1"/>
  <c r="G107" i="5" a="1"/>
  <c r="G107" i="5" s="1"/>
  <c r="U107" i="5" s="1"/>
  <c r="G37" i="5" a="1"/>
  <c r="G37" i="5" s="1"/>
  <c r="U37" i="5" s="1"/>
  <c r="G85" i="5" a="1"/>
  <c r="G85" i="5" s="1"/>
  <c r="U85" i="5" s="1"/>
  <c r="G101" i="5" a="1"/>
  <c r="G101" i="5" s="1"/>
  <c r="U101" i="5" s="1"/>
  <c r="G109" i="5" a="1"/>
  <c r="G109" i="5" s="1"/>
  <c r="U109" i="5" s="1"/>
  <c r="G32" i="5" a="1"/>
  <c r="G32" i="5" s="1"/>
  <c r="U32" i="5" s="1"/>
  <c r="G44" i="5" a="1"/>
  <c r="G44" i="5" s="1"/>
  <c r="U44" i="5" s="1"/>
  <c r="G64" i="5" a="1"/>
  <c r="G64" i="5" s="1"/>
  <c r="U64" i="5" s="1"/>
  <c r="G18" i="5" a="1"/>
  <c r="G18" i="5" s="1"/>
  <c r="U18" i="5" s="1"/>
  <c r="G114" i="5" a="1"/>
  <c r="G114" i="5" s="1"/>
  <c r="U114" i="5" s="1"/>
  <c r="G25" i="5" a="1"/>
  <c r="G25" i="5" s="1"/>
  <c r="U25" i="5" s="1"/>
  <c r="G80" i="5" a="1"/>
  <c r="G80" i="5" s="1"/>
  <c r="U80" i="5" s="1"/>
  <c r="G88" i="5" a="1"/>
  <c r="G88" i="5" s="1"/>
  <c r="U88" i="5" s="1"/>
  <c r="G104" i="5" a="1"/>
  <c r="G104" i="5" s="1"/>
  <c r="U104" i="5" s="1"/>
  <c r="G98" i="5" a="1"/>
  <c r="G98" i="5" s="1"/>
  <c r="U98" i="5" s="1"/>
  <c r="G79" i="5" a="1"/>
  <c r="G79" i="5" s="1"/>
  <c r="U79" i="5" s="1"/>
  <c r="G21" i="5" a="1"/>
  <c r="G21" i="5" s="1"/>
  <c r="U21" i="5" s="1"/>
  <c r="G53" i="5" a="1"/>
  <c r="G53" i="5" s="1"/>
  <c r="U53" i="5" s="1"/>
  <c r="G16" i="5" a="1"/>
  <c r="G16" i="5" s="1"/>
  <c r="U16" i="5" s="1"/>
  <c r="G24" i="5" a="1"/>
  <c r="G24" i="5" s="1"/>
  <c r="U24" i="5" s="1"/>
  <c r="G40" i="5" a="1"/>
  <c r="G40" i="5" s="1"/>
  <c r="U40" i="5" s="1"/>
  <c r="G48" i="5" a="1"/>
  <c r="G48" i="5" s="1"/>
  <c r="U48" i="5" s="1"/>
  <c r="G56" i="5" a="1"/>
  <c r="G56" i="5" s="1"/>
  <c r="U56" i="5" s="1"/>
  <c r="G92" i="5" a="1"/>
  <c r="G92" i="5" s="1"/>
  <c r="U92" i="5" s="1"/>
  <c r="G108" i="5" a="1"/>
  <c r="G108" i="5" s="1"/>
  <c r="U108" i="5" s="1"/>
  <c r="G112" i="5" a="1"/>
  <c r="G112" i="5" s="1"/>
  <c r="U112" i="5" s="1"/>
  <c r="G26" i="5" a="1"/>
  <c r="G26" i="5" s="1"/>
  <c r="U26" i="5" s="1"/>
  <c r="G62" i="5" a="1"/>
  <c r="G62" i="5" s="1"/>
  <c r="U62" i="5" s="1"/>
  <c r="G90" i="5" a="1"/>
  <c r="G90" i="5" s="1"/>
  <c r="U90" i="5" s="1"/>
  <c r="G89" i="5" a="1"/>
  <c r="G89" i="5" s="1"/>
  <c r="U89" i="5" s="1"/>
  <c r="G20" i="5" a="1"/>
  <c r="G20" i="5" s="1"/>
  <c r="U20" i="5" s="1"/>
  <c r="G36" i="5" a="1"/>
  <c r="G36" i="5" s="1"/>
  <c r="U36" i="5" s="1"/>
  <c r="G52" i="5" a="1"/>
  <c r="G52" i="5" s="1"/>
  <c r="U52" i="5" s="1"/>
  <c r="G68" i="5" a="1"/>
  <c r="G68" i="5" s="1"/>
  <c r="U68" i="5" s="1"/>
  <c r="G76" i="5" a="1"/>
  <c r="G76" i="5" s="1"/>
  <c r="U76" i="5" s="1"/>
  <c r="G100" i="5" a="1"/>
  <c r="G100" i="5" s="1"/>
  <c r="U100" i="5" s="1"/>
  <c r="O65" i="5"/>
  <c r="O57" i="5"/>
  <c r="O54" i="5"/>
  <c r="O45" i="5"/>
  <c r="O37" i="5"/>
  <c r="O30" i="5"/>
  <c r="G84" i="5" a="1"/>
  <c r="G84" i="5" s="1"/>
  <c r="U84" i="5" s="1"/>
  <c r="G60" i="5" a="1"/>
  <c r="G60" i="5" s="1"/>
  <c r="U60" i="5" s="1"/>
  <c r="G28" i="5" a="1"/>
  <c r="G28" i="5" s="1"/>
  <c r="U28" i="5" s="1"/>
  <c r="G69" i="5" a="1"/>
  <c r="G69" i="5" s="1"/>
  <c r="U69" i="5" s="1"/>
  <c r="G63" i="5" a="1"/>
  <c r="G63" i="5" s="1"/>
  <c r="U63" i="5" s="1"/>
  <c r="O61" i="5"/>
  <c r="O53" i="5"/>
  <c r="O19" i="5"/>
  <c r="Z44" i="5"/>
  <c r="O44" i="5"/>
  <c r="Z107" i="5"/>
  <c r="S107" i="5"/>
  <c r="AA107" i="5"/>
  <c r="O41" i="5"/>
  <c r="S92" i="5"/>
  <c r="Z92" i="5"/>
  <c r="AA92" i="5"/>
  <c r="Z35" i="5"/>
  <c r="O35" i="5"/>
  <c r="O34" i="5"/>
  <c r="AA35" i="5"/>
  <c r="E104" i="5" a="1"/>
  <c r="E104" i="5" s="1"/>
  <c r="E43" i="5" a="1"/>
  <c r="E43" i="5" s="1"/>
  <c r="E63" i="5" a="1"/>
  <c r="E63" i="5" s="1"/>
  <c r="E78" i="5" a="1"/>
  <c r="E78" i="5" s="1"/>
  <c r="O78" i="5" s="1"/>
  <c r="G71" i="5" a="1"/>
  <c r="G71" i="5" s="1"/>
  <c r="U71" i="5" s="1"/>
  <c r="A12" i="4"/>
  <c r="A6" i="107"/>
  <c r="A22" i="4"/>
  <c r="A16" i="107"/>
  <c r="A12" i="107"/>
  <c r="A18" i="4"/>
  <c r="A14" i="4"/>
  <c r="A8" i="107"/>
  <c r="A14" i="107"/>
  <c r="A20" i="4"/>
  <c r="C102" i="6"/>
  <c r="E102" i="6" s="1"/>
  <c r="D102" i="6"/>
  <c r="G102" i="6" s="1"/>
  <c r="D36" i="6"/>
  <c r="G36" i="6" s="1"/>
  <c r="C36" i="6"/>
  <c r="E36" i="6" s="1"/>
  <c r="E71" i="5" a="1"/>
  <c r="E71" i="5" s="1"/>
  <c r="E17" i="5" a="1"/>
  <c r="E17" i="5" s="1"/>
  <c r="E19" i="5" a="1"/>
  <c r="E19" i="5" s="1"/>
  <c r="E13" i="5" a="1"/>
  <c r="E13" i="5" s="1"/>
  <c r="E14" i="5" a="1"/>
  <c r="E14" i="5" s="1"/>
  <c r="E18" i="5" a="1"/>
  <c r="E18" i="5" s="1"/>
  <c r="O18" i="5" s="1"/>
  <c r="E22" i="5" a="1"/>
  <c r="E22" i="5" s="1"/>
  <c r="E26" i="5" a="1"/>
  <c r="E26" i="5" s="1"/>
  <c r="E30" i="5" a="1"/>
  <c r="E30" i="5" s="1"/>
  <c r="E38" i="5" a="1"/>
  <c r="E38" i="5" s="1"/>
  <c r="O38" i="5" s="1"/>
  <c r="E42" i="5" a="1"/>
  <c r="E42" i="5" s="1"/>
  <c r="E46" i="5" a="1"/>
  <c r="E46" i="5" s="1"/>
  <c r="E50" i="5" a="1"/>
  <c r="E50" i="5" s="1"/>
  <c r="E54" i="5" a="1"/>
  <c r="E54" i="5" s="1"/>
  <c r="E58" i="5" a="1"/>
  <c r="E58" i="5" s="1"/>
  <c r="E62" i="5" a="1"/>
  <c r="E62" i="5" s="1"/>
  <c r="E70" i="5" a="1"/>
  <c r="E70" i="5" s="1"/>
  <c r="E86" i="5" a="1"/>
  <c r="E86" i="5" s="1"/>
  <c r="E90" i="5" a="1"/>
  <c r="E90" i="5" s="1"/>
  <c r="E94" i="5" a="1"/>
  <c r="E94" i="5" s="1"/>
  <c r="E98" i="5" a="1"/>
  <c r="E98" i="5" s="1"/>
  <c r="E102" i="5" a="1"/>
  <c r="E102" i="5" s="1"/>
  <c r="E106" i="5" a="1"/>
  <c r="E106" i="5" s="1"/>
  <c r="E110" i="5" a="1"/>
  <c r="E110" i="5" s="1"/>
  <c r="E114" i="5" a="1"/>
  <c r="E114" i="5" s="1"/>
  <c r="E15" i="5" a="1"/>
  <c r="E15" i="5" s="1"/>
  <c r="E55" i="5" a="1"/>
  <c r="E55" i="5" s="1"/>
  <c r="E81" i="5" a="1"/>
  <c r="E81" i="5" s="1"/>
  <c r="E51" i="5" a="1"/>
  <c r="E51" i="5" s="1"/>
  <c r="E77" i="5" a="1"/>
  <c r="E77" i="5" s="1"/>
  <c r="E23" i="5" a="1"/>
  <c r="E23" i="5" s="1"/>
  <c r="E87" i="5" a="1"/>
  <c r="E87" i="5" s="1"/>
  <c r="O87" i="5" s="1"/>
  <c r="E49" i="5" a="1"/>
  <c r="E49" i="5" s="1"/>
  <c r="E83" i="5" a="1"/>
  <c r="E83" i="5" s="1"/>
  <c r="E45" i="5" a="1"/>
  <c r="E45" i="5" s="1"/>
  <c r="E105" i="5" a="1"/>
  <c r="E105" i="5" s="1"/>
  <c r="I111" i="6"/>
  <c r="I103" i="6"/>
  <c r="I95" i="6"/>
  <c r="I87" i="6"/>
  <c r="I79" i="6"/>
  <c r="I71" i="6"/>
  <c r="I63" i="6"/>
  <c r="I55" i="6"/>
  <c r="I47" i="6"/>
  <c r="I39" i="6"/>
  <c r="I31" i="6"/>
  <c r="I23" i="6"/>
  <c r="I15" i="6"/>
  <c r="I110" i="6"/>
  <c r="I102" i="6"/>
  <c r="I94" i="6"/>
  <c r="I86" i="6"/>
  <c r="I78" i="6"/>
  <c r="I70" i="6"/>
  <c r="I62" i="6"/>
  <c r="I54" i="6"/>
  <c r="I46" i="6"/>
  <c r="I38" i="6"/>
  <c r="I30" i="6"/>
  <c r="I22" i="6"/>
  <c r="I14" i="6"/>
  <c r="H115" i="6"/>
  <c r="H107" i="6"/>
  <c r="H99" i="6"/>
  <c r="H91" i="6"/>
  <c r="H83" i="6"/>
  <c r="H75" i="6"/>
  <c r="H67" i="6"/>
  <c r="H59" i="6"/>
  <c r="H51" i="6"/>
  <c r="H43" i="6"/>
  <c r="H35" i="6"/>
  <c r="H27" i="6"/>
  <c r="H19" i="6"/>
  <c r="H110" i="6"/>
  <c r="H102" i="6"/>
  <c r="H94" i="6"/>
  <c r="H86" i="6"/>
  <c r="H78" i="6"/>
  <c r="H70" i="6"/>
  <c r="H62" i="6"/>
  <c r="H54" i="6"/>
  <c r="H46" i="6"/>
  <c r="H38" i="6"/>
  <c r="H30" i="6"/>
  <c r="H22" i="6"/>
  <c r="H12" i="6"/>
  <c r="P12" i="6" s="1"/>
  <c r="P13" i="6" s="1"/>
  <c r="I109" i="6"/>
  <c r="I99" i="6"/>
  <c r="I89" i="6"/>
  <c r="I77" i="6"/>
  <c r="I67" i="6"/>
  <c r="I57" i="6"/>
  <c r="I45" i="6"/>
  <c r="I35" i="6"/>
  <c r="I25" i="6"/>
  <c r="I11" i="6"/>
  <c r="Q11" i="6" s="1"/>
  <c r="I114" i="6"/>
  <c r="I104" i="6"/>
  <c r="I92" i="6"/>
  <c r="I82" i="6"/>
  <c r="I72" i="6"/>
  <c r="I60" i="6"/>
  <c r="I50" i="6"/>
  <c r="I40" i="6"/>
  <c r="I28" i="6"/>
  <c r="I18" i="6"/>
  <c r="H105" i="6"/>
  <c r="H95" i="6"/>
  <c r="H85" i="6"/>
  <c r="H73" i="6"/>
  <c r="H63" i="6"/>
  <c r="H53" i="6"/>
  <c r="H41" i="6"/>
  <c r="H31" i="6"/>
  <c r="H21" i="6"/>
  <c r="H116" i="6"/>
  <c r="H106" i="6"/>
  <c r="H96" i="6"/>
  <c r="H84" i="6"/>
  <c r="H74" i="6"/>
  <c r="H64" i="6"/>
  <c r="H52" i="6"/>
  <c r="H42" i="6"/>
  <c r="H32" i="6"/>
  <c r="H20" i="6"/>
  <c r="I115" i="6"/>
  <c r="I105" i="6"/>
  <c r="I93" i="6"/>
  <c r="I83" i="6"/>
  <c r="I73" i="6"/>
  <c r="I61" i="6"/>
  <c r="I51" i="6"/>
  <c r="I41" i="6"/>
  <c r="I29" i="6"/>
  <c r="I19" i="6"/>
  <c r="I12" i="6"/>
  <c r="Q12" i="6" s="1"/>
  <c r="Q13" i="6" s="1"/>
  <c r="I108" i="6"/>
  <c r="I98" i="6"/>
  <c r="I88" i="6"/>
  <c r="I76" i="6"/>
  <c r="I66" i="6"/>
  <c r="I56" i="6"/>
  <c r="I44" i="6"/>
  <c r="I34" i="6"/>
  <c r="I24" i="6"/>
  <c r="H111" i="6"/>
  <c r="H101" i="6"/>
  <c r="H89" i="6"/>
  <c r="H79" i="6"/>
  <c r="H69" i="6"/>
  <c r="H57" i="6"/>
  <c r="H47" i="6"/>
  <c r="H37" i="6"/>
  <c r="H25" i="6"/>
  <c r="H15" i="6"/>
  <c r="H112" i="6"/>
  <c r="H100" i="6"/>
  <c r="H90" i="6"/>
  <c r="H80" i="6"/>
  <c r="H68" i="6"/>
  <c r="H58" i="6"/>
  <c r="H48" i="6"/>
  <c r="H36" i="6"/>
  <c r="H26" i="6"/>
  <c r="H14" i="6"/>
  <c r="A4" i="108"/>
  <c r="A8" i="108"/>
  <c r="A12" i="108"/>
  <c r="A16" i="108"/>
  <c r="A20" i="108"/>
  <c r="A24" i="108"/>
  <c r="A28" i="108"/>
  <c r="A32" i="108"/>
  <c r="A36" i="108"/>
  <c r="A40" i="108"/>
  <c r="A5" i="108"/>
  <c r="A10" i="108"/>
  <c r="A15" i="108"/>
  <c r="A21" i="108"/>
  <c r="A26" i="108"/>
  <c r="A31" i="108"/>
  <c r="A37" i="108"/>
  <c r="A42" i="108"/>
  <c r="A46" i="108"/>
  <c r="A50" i="108"/>
  <c r="A54" i="108"/>
  <c r="A58" i="108"/>
  <c r="A62" i="108"/>
  <c r="A66" i="108"/>
  <c r="A70" i="108"/>
  <c r="A74" i="108"/>
  <c r="A78" i="108"/>
  <c r="A82" i="108"/>
  <c r="A86" i="108"/>
  <c r="A90" i="108"/>
  <c r="A94" i="108"/>
  <c r="A98" i="108"/>
  <c r="A102" i="108"/>
  <c r="A106" i="108"/>
  <c r="A3" i="108"/>
  <c r="A11" i="108"/>
  <c r="A18" i="108"/>
  <c r="A25" i="108"/>
  <c r="A33" i="108"/>
  <c r="A39" i="108"/>
  <c r="A45" i="108"/>
  <c r="A51" i="108"/>
  <c r="A56" i="108"/>
  <c r="A61" i="108"/>
  <c r="A67" i="108"/>
  <c r="A72" i="108"/>
  <c r="A77" i="108"/>
  <c r="A83" i="108"/>
  <c r="A88" i="108"/>
  <c r="A93" i="108"/>
  <c r="A99" i="108"/>
  <c r="A104" i="108"/>
  <c r="Q7" i="5"/>
  <c r="A7" i="108"/>
  <c r="A14" i="108"/>
  <c r="A22" i="108"/>
  <c r="A29" i="108"/>
  <c r="A35" i="108"/>
  <c r="A43" i="108"/>
  <c r="A48" i="108"/>
  <c r="A53" i="108"/>
  <c r="A59" i="108"/>
  <c r="A64" i="108"/>
  <c r="A69" i="108"/>
  <c r="A75" i="108"/>
  <c r="A80" i="108"/>
  <c r="A85" i="108"/>
  <c r="A91" i="108"/>
  <c r="A96" i="108"/>
  <c r="A101" i="108"/>
  <c r="A107" i="108"/>
  <c r="A4" i="107"/>
  <c r="A10" i="4"/>
  <c r="A26" i="4"/>
  <c r="A20" i="107"/>
  <c r="G115" i="5" a="1"/>
  <c r="G115" i="5" s="1"/>
  <c r="U115" i="5" s="1"/>
  <c r="G23" i="5" a="1"/>
  <c r="G23" i="5" s="1"/>
  <c r="U23" i="5" s="1"/>
  <c r="G39" i="5" a="1"/>
  <c r="G39" i="5" s="1"/>
  <c r="U39" i="5" s="1"/>
  <c r="G55" i="5" a="1"/>
  <c r="G55" i="5" s="1"/>
  <c r="U55" i="5" s="1"/>
  <c r="G87" i="5" a="1"/>
  <c r="G87" i="5" s="1"/>
  <c r="U87" i="5" s="1"/>
  <c r="G103" i="5" a="1"/>
  <c r="G103" i="5" s="1"/>
  <c r="U103" i="5" s="1"/>
  <c r="G33" i="5" a="1"/>
  <c r="G33" i="5" s="1"/>
  <c r="U33" i="5" s="1"/>
  <c r="G49" i="5" a="1"/>
  <c r="G49" i="5" s="1"/>
  <c r="U49" i="5" s="1"/>
  <c r="G65" i="5" a="1"/>
  <c r="G65" i="5" s="1"/>
  <c r="U65" i="5" s="1"/>
  <c r="G81" i="5" a="1"/>
  <c r="G81" i="5" s="1"/>
  <c r="U81" i="5" s="1"/>
  <c r="G97" i="5" a="1"/>
  <c r="G97" i="5" s="1"/>
  <c r="U97" i="5" s="1"/>
  <c r="G35" i="5" a="1"/>
  <c r="G35" i="5" s="1"/>
  <c r="U35" i="5" s="1"/>
  <c r="G51" i="5" a="1"/>
  <c r="G51" i="5" s="1"/>
  <c r="U51" i="5" s="1"/>
  <c r="G67" i="5" a="1"/>
  <c r="G67" i="5" s="1"/>
  <c r="U67" i="5" s="1"/>
  <c r="G83" i="5" a="1"/>
  <c r="G83" i="5" s="1"/>
  <c r="U83" i="5" s="1"/>
  <c r="G99" i="5" a="1"/>
  <c r="G99" i="5" s="1"/>
  <c r="U99" i="5" s="1"/>
  <c r="G29" i="5" a="1"/>
  <c r="G29" i="5" s="1"/>
  <c r="U29" i="5" s="1"/>
  <c r="G45" i="5" a="1"/>
  <c r="G45" i="5" s="1"/>
  <c r="U45" i="5" s="1"/>
  <c r="G61" i="5" a="1"/>
  <c r="G61" i="5" s="1"/>
  <c r="U61" i="5" s="1"/>
  <c r="G77" i="5" a="1"/>
  <c r="G77" i="5" s="1"/>
  <c r="U77" i="5" s="1"/>
  <c r="G93" i="5" a="1"/>
  <c r="G93" i="5" s="1"/>
  <c r="U93" i="5" s="1"/>
  <c r="G105" i="5" a="1"/>
  <c r="G105" i="5" s="1"/>
  <c r="U105" i="5" s="1"/>
  <c r="G113" i="5" a="1"/>
  <c r="G113" i="5" s="1"/>
  <c r="U113" i="5" s="1"/>
  <c r="G34" i="5" a="1"/>
  <c r="G34" i="5" s="1"/>
  <c r="U34" i="5" s="1"/>
  <c r="G66" i="5" a="1"/>
  <c r="G66" i="5" s="1"/>
  <c r="U66" i="5" s="1"/>
  <c r="G74" i="5" a="1"/>
  <c r="G74" i="5" s="1"/>
  <c r="U74" i="5" s="1"/>
  <c r="G78" i="5" a="1"/>
  <c r="G78" i="5" s="1"/>
  <c r="U78" i="5" s="1"/>
  <c r="G82" i="5" a="1"/>
  <c r="G82" i="5" s="1"/>
  <c r="U82" i="5" s="1"/>
  <c r="A19" i="4"/>
  <c r="A13" i="107"/>
  <c r="B102" i="5" a="1"/>
  <c r="B102" i="5" s="1"/>
  <c r="B102" i="6" s="1"/>
  <c r="B86" i="5" a="1"/>
  <c r="B86" i="5" s="1"/>
  <c r="B86" i="6" s="1"/>
  <c r="B70" i="5" a="1"/>
  <c r="B70" i="5" s="1"/>
  <c r="B70" i="6" s="1"/>
  <c r="B54" i="5" a="1"/>
  <c r="B54" i="5" s="1"/>
  <c r="B54" i="6" s="1"/>
  <c r="B38" i="5" a="1"/>
  <c r="B38" i="5" s="1"/>
  <c r="B38" i="6" s="1"/>
  <c r="B22" i="5" a="1"/>
  <c r="B22" i="5" s="1"/>
  <c r="B22" i="6" s="1"/>
  <c r="B105" i="5" a="1"/>
  <c r="B105" i="5" s="1"/>
  <c r="B105" i="6" s="1"/>
  <c r="B45" i="5" a="1"/>
  <c r="B45" i="5" s="1"/>
  <c r="B45" i="6" s="1"/>
  <c r="B83" i="5" a="1"/>
  <c r="B83" i="5" s="1"/>
  <c r="B83" i="6" s="1"/>
  <c r="B19" i="5" a="1"/>
  <c r="B19" i="5" s="1"/>
  <c r="B19" i="6" s="1"/>
  <c r="B49" i="5" a="1"/>
  <c r="B49" i="5" s="1"/>
  <c r="B49" i="6" s="1"/>
  <c r="B87" i="5" a="1"/>
  <c r="B87" i="5" s="1"/>
  <c r="B87" i="6" s="1"/>
  <c r="B23" i="5" a="1"/>
  <c r="B23" i="5" s="1"/>
  <c r="B23" i="6" s="1"/>
  <c r="D74" i="6"/>
  <c r="G74" i="6" s="1"/>
  <c r="Q6" i="5"/>
  <c r="J5" i="6"/>
  <c r="B104" i="5" l="1" a="1"/>
  <c r="B104" i="5" s="1"/>
  <c r="B104" i="6" s="1"/>
  <c r="B16" i="5" a="1"/>
  <c r="B16" i="5" s="1"/>
  <c r="B16" i="6" s="1"/>
  <c r="AA105" i="5"/>
  <c r="Z105" i="5"/>
  <c r="S105" i="5"/>
  <c r="O105" i="5"/>
  <c r="AA81" i="5"/>
  <c r="S81" i="5"/>
  <c r="O81" i="5"/>
  <c r="Z81" i="5"/>
  <c r="S94" i="5"/>
  <c r="AA94" i="5"/>
  <c r="Z94" i="5"/>
  <c r="O94" i="5"/>
  <c r="AA46" i="5"/>
  <c r="Z46" i="5"/>
  <c r="S46" i="5"/>
  <c r="S13" i="5"/>
  <c r="H13" i="5" s="1"/>
  <c r="AA13" i="5"/>
  <c r="Z13" i="5"/>
  <c r="O13" i="5"/>
  <c r="AE13" i="5" s="1"/>
  <c r="O62" i="5"/>
  <c r="B63" i="5" a="1"/>
  <c r="B63" i="5" s="1"/>
  <c r="B63" i="6" s="1"/>
  <c r="B56" i="5" a="1"/>
  <c r="B56" i="5" s="1"/>
  <c r="B56" i="6" s="1"/>
  <c r="B47" i="5" a="1"/>
  <c r="B47" i="5" s="1"/>
  <c r="B47" i="6" s="1"/>
  <c r="B44" i="5" a="1"/>
  <c r="B44" i="5" s="1"/>
  <c r="B44" i="6" s="1"/>
  <c r="B11" i="5" a="1"/>
  <c r="B11" i="5" s="1"/>
  <c r="B11" i="6" s="1"/>
  <c r="B84" i="5" a="1"/>
  <c r="B84" i="5" s="1"/>
  <c r="B84" i="6" s="1"/>
  <c r="Z88" i="5"/>
  <c r="S88" i="5"/>
  <c r="AA88" i="5"/>
  <c r="S76" i="5"/>
  <c r="AA76" i="5"/>
  <c r="O76" i="5"/>
  <c r="Z76" i="5"/>
  <c r="S11" i="5"/>
  <c r="H11" i="5" s="1"/>
  <c r="Z11" i="5"/>
  <c r="O11" i="5"/>
  <c r="Q11" i="5"/>
  <c r="Q12" i="5" s="1"/>
  <c r="Q13" i="5" s="1"/>
  <c r="Q14" i="5" s="1"/>
  <c r="Q15" i="5" s="1"/>
  <c r="Q16" i="5" s="1"/>
  <c r="Q17" i="5" s="1"/>
  <c r="Q18" i="5" s="1"/>
  <c r="Q19" i="5" s="1"/>
  <c r="Q20" i="5" s="1"/>
  <c r="Q21" i="5" s="1"/>
  <c r="Q22" i="5" s="1"/>
  <c r="Q23" i="5" s="1"/>
  <c r="Q24" i="5" s="1"/>
  <c r="Q25" i="5" s="1"/>
  <c r="Q26" i="5" s="1"/>
  <c r="Q27" i="5" s="1"/>
  <c r="Q28" i="5" s="1"/>
  <c r="Q29" i="5" s="1"/>
  <c r="Q30" i="5" s="1"/>
  <c r="Q31" i="5" s="1"/>
  <c r="Q32" i="5" s="1"/>
  <c r="Q33" i="5" s="1"/>
  <c r="Q34" i="5" s="1"/>
  <c r="Q35" i="5" s="1"/>
  <c r="Q36" i="5" s="1"/>
  <c r="Q37" i="5" s="1"/>
  <c r="Q38" i="5" s="1"/>
  <c r="Q39" i="5" s="1"/>
  <c r="Q40" i="5" s="1"/>
  <c r="Q41" i="5" s="1"/>
  <c r="Q42" i="5" s="1"/>
  <c r="Q43" i="5" s="1"/>
  <c r="Q44" i="5" s="1"/>
  <c r="Q45" i="5" s="1"/>
  <c r="Q46" i="5" s="1"/>
  <c r="Q47" i="5" s="1"/>
  <c r="Q48" i="5" s="1"/>
  <c r="Q49" i="5" s="1"/>
  <c r="Q50" i="5" s="1"/>
  <c r="Q51" i="5" s="1"/>
  <c r="Q52" i="5" s="1"/>
  <c r="Q53" i="5" s="1"/>
  <c r="Q54" i="5" s="1"/>
  <c r="Q55" i="5" s="1"/>
  <c r="Q56" i="5" s="1"/>
  <c r="Q57" i="5" s="1"/>
  <c r="Q58" i="5" s="1"/>
  <c r="Q59" i="5" s="1"/>
  <c r="Q60" i="5" s="1"/>
  <c r="Q61" i="5" s="1"/>
  <c r="Q62" i="5" s="1"/>
  <c r="Q63" i="5" s="1"/>
  <c r="Q64" i="5" s="1"/>
  <c r="Q65" i="5" s="1"/>
  <c r="Q66" i="5" s="1"/>
  <c r="Q67" i="5" s="1"/>
  <c r="Q68" i="5" s="1"/>
  <c r="Q69" i="5" s="1"/>
  <c r="Q70" i="5" s="1"/>
  <c r="Q71" i="5" s="1"/>
  <c r="Q72" i="5" s="1"/>
  <c r="Q73" i="5" s="1"/>
  <c r="Q74" i="5" s="1"/>
  <c r="Q75" i="5" s="1"/>
  <c r="Q76" i="5" s="1"/>
  <c r="Q77" i="5" s="1"/>
  <c r="Q78" i="5" s="1"/>
  <c r="Q79" i="5" s="1"/>
  <c r="Q80" i="5" s="1"/>
  <c r="Q81" i="5" s="1"/>
  <c r="Q82" i="5" s="1"/>
  <c r="Q83" i="5" s="1"/>
  <c r="Q84" i="5" s="1"/>
  <c r="Q85" i="5" s="1"/>
  <c r="Q86" i="5" s="1"/>
  <c r="Q87" i="5" s="1"/>
  <c r="Q88" i="5" s="1"/>
  <c r="Q89" i="5" s="1"/>
  <c r="Q90" i="5" s="1"/>
  <c r="Q91" i="5" s="1"/>
  <c r="Q92" i="5" s="1"/>
  <c r="Q93" i="5" s="1"/>
  <c r="Q94" i="5" s="1"/>
  <c r="Q95" i="5" s="1"/>
  <c r="Q96" i="5" s="1"/>
  <c r="Q97" i="5" s="1"/>
  <c r="Q98" i="5" s="1"/>
  <c r="Q99" i="5" s="1"/>
  <c r="Q100" i="5" s="1"/>
  <c r="Q101" i="5" s="1"/>
  <c r="Q102" i="5" s="1"/>
  <c r="Q103" i="5" s="1"/>
  <c r="Q104" i="5" s="1"/>
  <c r="Q105" i="5" s="1"/>
  <c r="Q106" i="5" s="1"/>
  <c r="Q107" i="5" s="1"/>
  <c r="Q108" i="5" s="1"/>
  <c r="Q109" i="5" s="1"/>
  <c r="Q110" i="5" s="1"/>
  <c r="Q111" i="5" s="1"/>
  <c r="Q112" i="5" s="1"/>
  <c r="Q113" i="5" s="1"/>
  <c r="Q114" i="5" s="1"/>
  <c r="Q115" i="5" s="1"/>
  <c r="Q116" i="5" s="1"/>
  <c r="AA11" i="5"/>
  <c r="S47" i="5"/>
  <c r="Z47" i="5"/>
  <c r="AA47" i="5"/>
  <c r="O47" i="5"/>
  <c r="Z28" i="5"/>
  <c r="AA28" i="5"/>
  <c r="O28" i="5"/>
  <c r="S28" i="5"/>
  <c r="S27" i="5"/>
  <c r="Z27" i="5"/>
  <c r="AA27" i="5"/>
  <c r="AA41" i="5"/>
  <c r="Z41" i="5"/>
  <c r="S41" i="5"/>
  <c r="S33" i="5"/>
  <c r="Z33" i="5"/>
  <c r="AA33" i="5"/>
  <c r="B103" i="5" a="1"/>
  <c r="B103" i="5" s="1"/>
  <c r="B103" i="6" s="1"/>
  <c r="B35" i="5" a="1"/>
  <c r="B35" i="5" s="1"/>
  <c r="B35" i="6" s="1"/>
  <c r="B61" i="5" a="1"/>
  <c r="B61" i="5" s="1"/>
  <c r="B61" i="6" s="1"/>
  <c r="B26" i="5" a="1"/>
  <c r="B26" i="5" s="1"/>
  <c r="B26" i="6" s="1"/>
  <c r="B58" i="5" a="1"/>
  <c r="B58" i="5" s="1"/>
  <c r="B58" i="6" s="1"/>
  <c r="B90" i="5" a="1"/>
  <c r="B90" i="5" s="1"/>
  <c r="B90" i="6" s="1"/>
  <c r="P14" i="6"/>
  <c r="Z23" i="5"/>
  <c r="AA23" i="5"/>
  <c r="S23" i="5"/>
  <c r="AA106" i="5"/>
  <c r="Z106" i="5"/>
  <c r="S106" i="5"/>
  <c r="O106" i="5"/>
  <c r="Z58" i="5"/>
  <c r="S58" i="5"/>
  <c r="AA58" i="5"/>
  <c r="AA22" i="5"/>
  <c r="O22" i="5"/>
  <c r="S22" i="5"/>
  <c r="Z22" i="5"/>
  <c r="Z63" i="5"/>
  <c r="S63" i="5"/>
  <c r="O63" i="5"/>
  <c r="AA63" i="5"/>
  <c r="B57" i="5" a="1"/>
  <c r="B57" i="5" s="1"/>
  <c r="B57" i="6" s="1"/>
  <c r="B88" i="5" a="1"/>
  <c r="B88" i="5" s="1"/>
  <c r="B88" i="6" s="1"/>
  <c r="B32" i="5" a="1"/>
  <c r="B32" i="5" s="1"/>
  <c r="B32" i="6" s="1"/>
  <c r="B69" i="5" a="1"/>
  <c r="B69" i="5" s="1"/>
  <c r="B69" i="6" s="1"/>
  <c r="B75" i="5" a="1"/>
  <c r="B75" i="5" s="1"/>
  <c r="B75" i="6" s="1"/>
  <c r="B36" i="5" a="1"/>
  <c r="B36" i="5" s="1"/>
  <c r="B36" i="6" s="1"/>
  <c r="S101" i="5"/>
  <c r="Z101" i="5"/>
  <c r="AA101" i="5"/>
  <c r="O101" i="5"/>
  <c r="AA116" i="5"/>
  <c r="S116" i="5"/>
  <c r="O116" i="5"/>
  <c r="Z116" i="5"/>
  <c r="Z85" i="5"/>
  <c r="AA85" i="5"/>
  <c r="O85" i="5"/>
  <c r="S85" i="5"/>
  <c r="Z96" i="5"/>
  <c r="S96" i="5"/>
  <c r="AA96" i="5"/>
  <c r="O96" i="5"/>
  <c r="S48" i="5"/>
  <c r="AA48" i="5"/>
  <c r="Z48" i="5"/>
  <c r="O48" i="5"/>
  <c r="AA69" i="5"/>
  <c r="S69" i="5"/>
  <c r="Z69" i="5"/>
  <c r="Z99" i="5"/>
  <c r="AA99" i="5"/>
  <c r="S99" i="5"/>
  <c r="O99" i="5"/>
  <c r="Z34" i="5"/>
  <c r="S34" i="5"/>
  <c r="AA34" i="5"/>
  <c r="O69" i="5"/>
  <c r="B55" i="5" a="1"/>
  <c r="B55" i="5" s="1"/>
  <c r="B55" i="6" s="1"/>
  <c r="B81" i="5" a="1"/>
  <c r="B81" i="5" s="1"/>
  <c r="B81" i="6" s="1"/>
  <c r="B13" i="5" a="1"/>
  <c r="B13" i="5" s="1"/>
  <c r="B13" i="6" s="1"/>
  <c r="B14" i="5" a="1"/>
  <c r="B14" i="5" s="1"/>
  <c r="B14" i="6" s="1"/>
  <c r="B115" i="5" a="1"/>
  <c r="B115" i="5" s="1"/>
  <c r="B115" i="6" s="1"/>
  <c r="B71" i="5" a="1"/>
  <c r="B71" i="5" s="1"/>
  <c r="B71" i="6" s="1"/>
  <c r="B33" i="5" a="1"/>
  <c r="B33" i="5" s="1"/>
  <c r="B33" i="6" s="1"/>
  <c r="B97" i="5" a="1"/>
  <c r="B97" i="5" s="1"/>
  <c r="B97" i="6" s="1"/>
  <c r="B67" i="5" a="1"/>
  <c r="B67" i="5" s="1"/>
  <c r="B67" i="6" s="1"/>
  <c r="B29" i="5" a="1"/>
  <c r="B29" i="5" s="1"/>
  <c r="B29" i="6" s="1"/>
  <c r="B93" i="5" a="1"/>
  <c r="B93" i="5" s="1"/>
  <c r="B93" i="6" s="1"/>
  <c r="B18" i="5" a="1"/>
  <c r="B18" i="5" s="1"/>
  <c r="B18" i="6" s="1"/>
  <c r="B34" i="5" a="1"/>
  <c r="B34" i="5" s="1"/>
  <c r="B34" i="6" s="1"/>
  <c r="B50" i="5" a="1"/>
  <c r="B50" i="5" s="1"/>
  <c r="B50" i="6" s="1"/>
  <c r="B66" i="5" a="1"/>
  <c r="B66" i="5" s="1"/>
  <c r="B66" i="6" s="1"/>
  <c r="B82" i="5" a="1"/>
  <c r="B82" i="5" s="1"/>
  <c r="B82" i="6" s="1"/>
  <c r="B98" i="5" a="1"/>
  <c r="B98" i="5" s="1"/>
  <c r="B98" i="6" s="1"/>
  <c r="B114" i="5" a="1"/>
  <c r="B114" i="5" s="1"/>
  <c r="B114" i="6" s="1"/>
  <c r="P15" i="6"/>
  <c r="P16" i="6" s="1"/>
  <c r="P17" i="6" s="1"/>
  <c r="P18" i="6" s="1"/>
  <c r="P19" i="6" s="1"/>
  <c r="P20" i="6" s="1"/>
  <c r="P21" i="6" s="1"/>
  <c r="P22" i="6" s="1"/>
  <c r="P23" i="6" s="1"/>
  <c r="P24" i="6" s="1"/>
  <c r="P25" i="6" s="1"/>
  <c r="P26" i="6" s="1"/>
  <c r="P27" i="6" s="1"/>
  <c r="P28" i="6" s="1"/>
  <c r="P29" i="6" s="1"/>
  <c r="P30" i="6" s="1"/>
  <c r="P31" i="6" s="1"/>
  <c r="P32" i="6" s="1"/>
  <c r="P33" i="6" s="1"/>
  <c r="P34" i="6" s="1"/>
  <c r="P35" i="6" s="1"/>
  <c r="P36" i="6" s="1"/>
  <c r="P37" i="6" s="1"/>
  <c r="P38" i="6" s="1"/>
  <c r="P39" i="6" s="1"/>
  <c r="P40" i="6" s="1"/>
  <c r="P41" i="6" s="1"/>
  <c r="P42" i="6" s="1"/>
  <c r="P43" i="6" s="1"/>
  <c r="P44" i="6" s="1"/>
  <c r="P45" i="6" s="1"/>
  <c r="P46" i="6" s="1"/>
  <c r="P47" i="6" s="1"/>
  <c r="P48" i="6" s="1"/>
  <c r="P49" i="6" s="1"/>
  <c r="P50" i="6" s="1"/>
  <c r="P51" i="6" s="1"/>
  <c r="P52" i="6" s="1"/>
  <c r="P53" i="6" s="1"/>
  <c r="P54" i="6" s="1"/>
  <c r="P55" i="6" s="1"/>
  <c r="P56" i="6" s="1"/>
  <c r="P57" i="6" s="1"/>
  <c r="P58" i="6" s="1"/>
  <c r="P59" i="6" s="1"/>
  <c r="P60" i="6" s="1"/>
  <c r="P61" i="6" s="1"/>
  <c r="P62" i="6" s="1"/>
  <c r="P63" i="6" s="1"/>
  <c r="P64" i="6" s="1"/>
  <c r="P65" i="6" s="1"/>
  <c r="P66" i="6" s="1"/>
  <c r="P67" i="6" s="1"/>
  <c r="P68" i="6" s="1"/>
  <c r="P69" i="6" s="1"/>
  <c r="P70" i="6" s="1"/>
  <c r="P71" i="6" s="1"/>
  <c r="P72" i="6" s="1"/>
  <c r="P73" i="6" s="1"/>
  <c r="P74" i="6" s="1"/>
  <c r="P75" i="6" s="1"/>
  <c r="P76" i="6" s="1"/>
  <c r="P77" i="6" s="1"/>
  <c r="P78" i="6" s="1"/>
  <c r="P79" i="6" s="1"/>
  <c r="P80" i="6" s="1"/>
  <c r="P81" i="6" s="1"/>
  <c r="P82" i="6" s="1"/>
  <c r="P83" i="6" s="1"/>
  <c r="P84" i="6" s="1"/>
  <c r="P85" i="6" s="1"/>
  <c r="P86" i="6" s="1"/>
  <c r="P87" i="6" s="1"/>
  <c r="P88" i="6" s="1"/>
  <c r="P89" i="6" s="1"/>
  <c r="P90" i="6" s="1"/>
  <c r="P91" i="6" s="1"/>
  <c r="P92" i="6" s="1"/>
  <c r="P93" i="6" s="1"/>
  <c r="P94" i="6" s="1"/>
  <c r="P95" i="6" s="1"/>
  <c r="P96" i="6" s="1"/>
  <c r="P97" i="6" s="1"/>
  <c r="P98" i="6" s="1"/>
  <c r="P99" i="6" s="1"/>
  <c r="P100" i="6" s="1"/>
  <c r="P101" i="6" s="1"/>
  <c r="P102" i="6" s="1"/>
  <c r="P103" i="6" s="1"/>
  <c r="P104" i="6" s="1"/>
  <c r="P105" i="6" s="1"/>
  <c r="P106" i="6" s="1"/>
  <c r="P107" i="6" s="1"/>
  <c r="P108" i="6" s="1"/>
  <c r="P109" i="6" s="1"/>
  <c r="P110" i="6" s="1"/>
  <c r="P111" i="6" s="1"/>
  <c r="P112" i="6" s="1"/>
  <c r="P113" i="6" s="1"/>
  <c r="P114" i="6" s="1"/>
  <c r="P115" i="6" s="1"/>
  <c r="P116" i="6" s="1"/>
  <c r="AA49" i="5"/>
  <c r="S49" i="5"/>
  <c r="Z49" i="5"/>
  <c r="S51" i="5"/>
  <c r="AA51" i="5"/>
  <c r="Z51" i="5"/>
  <c r="S114" i="5"/>
  <c r="AA114" i="5"/>
  <c r="Z114" i="5"/>
  <c r="O114" i="5"/>
  <c r="S98" i="5"/>
  <c r="Z98" i="5"/>
  <c r="AA98" i="5"/>
  <c r="S70" i="5"/>
  <c r="AA70" i="5"/>
  <c r="Z70" i="5"/>
  <c r="O70" i="5"/>
  <c r="S50" i="5"/>
  <c r="Z50" i="5"/>
  <c r="AA50" i="5"/>
  <c r="S30" i="5"/>
  <c r="Z30" i="5"/>
  <c r="AA30" i="5"/>
  <c r="S14" i="5"/>
  <c r="H14" i="5" s="1"/>
  <c r="O14" i="5"/>
  <c r="AA14" i="5"/>
  <c r="Z14" i="5"/>
  <c r="S71" i="5"/>
  <c r="Z71" i="5"/>
  <c r="AA71" i="5"/>
  <c r="S104" i="5"/>
  <c r="AA104" i="5"/>
  <c r="Z104" i="5"/>
  <c r="O33" i="5"/>
  <c r="O27" i="5"/>
  <c r="O49" i="5"/>
  <c r="B89" i="5" a="1"/>
  <c r="B89" i="5" s="1"/>
  <c r="B89" i="6" s="1"/>
  <c r="B72" i="5" a="1"/>
  <c r="B72" i="5" s="1"/>
  <c r="B72" i="6" s="1"/>
  <c r="B112" i="5" a="1"/>
  <c r="B112" i="5" s="1"/>
  <c r="B112" i="6" s="1"/>
  <c r="B24" i="5" a="1"/>
  <c r="B24" i="5" s="1"/>
  <c r="B24" i="6" s="1"/>
  <c r="B59" i="5" a="1"/>
  <c r="B59" i="5" s="1"/>
  <c r="B59" i="6" s="1"/>
  <c r="B96" i="5" a="1"/>
  <c r="B96" i="5" s="1"/>
  <c r="B96" i="6" s="1"/>
  <c r="B43" i="5" a="1"/>
  <c r="B43" i="5" s="1"/>
  <c r="B43" i="6" s="1"/>
  <c r="B28" i="5" a="1"/>
  <c r="B28" i="5" s="1"/>
  <c r="B28" i="6" s="1"/>
  <c r="B92" i="5" a="1"/>
  <c r="B92" i="5" s="1"/>
  <c r="B92" i="6" s="1"/>
  <c r="B41" i="5" a="1"/>
  <c r="B41" i="5" s="1"/>
  <c r="B41" i="6" s="1"/>
  <c r="B101" i="5" a="1"/>
  <c r="B101" i="5" s="1"/>
  <c r="B101" i="6" s="1"/>
  <c r="B68" i="5" a="1"/>
  <c r="B68" i="5" s="1"/>
  <c r="B68" i="6" s="1"/>
  <c r="Z75" i="5"/>
  <c r="S75" i="5"/>
  <c r="AA75" i="5"/>
  <c r="O75" i="5"/>
  <c r="AA111" i="5"/>
  <c r="S111" i="5"/>
  <c r="Z111" i="5"/>
  <c r="O111" i="5"/>
  <c r="Z84" i="5"/>
  <c r="S84" i="5"/>
  <c r="AA84" i="5"/>
  <c r="O84" i="5"/>
  <c r="Z32" i="5"/>
  <c r="S32" i="5"/>
  <c r="AA32" i="5"/>
  <c r="O32" i="5"/>
  <c r="Z59" i="5"/>
  <c r="AA59" i="5"/>
  <c r="S59" i="5"/>
  <c r="Z103" i="5"/>
  <c r="AA103" i="5"/>
  <c r="O103" i="5"/>
  <c r="S103" i="5"/>
  <c r="AA73" i="5"/>
  <c r="Z73" i="5"/>
  <c r="S73" i="5"/>
  <c r="S56" i="5"/>
  <c r="Z56" i="5"/>
  <c r="AA56" i="5"/>
  <c r="O56" i="5"/>
  <c r="Z36" i="5"/>
  <c r="AA36" i="5"/>
  <c r="S36" i="5"/>
  <c r="O36" i="5"/>
  <c r="S16" i="5"/>
  <c r="Z16" i="5"/>
  <c r="O16" i="5"/>
  <c r="AA16" i="5"/>
  <c r="Z21" i="5"/>
  <c r="AA21" i="5"/>
  <c r="S21" i="5"/>
  <c r="O21" i="5"/>
  <c r="S66" i="5"/>
  <c r="Z66" i="5"/>
  <c r="AA66" i="5"/>
  <c r="O66" i="5"/>
  <c r="S39" i="5"/>
  <c r="Z39" i="5"/>
  <c r="AA39" i="5"/>
  <c r="O39" i="5"/>
  <c r="AA82" i="5"/>
  <c r="S82" i="5"/>
  <c r="Z82" i="5"/>
  <c r="O82" i="5"/>
  <c r="Z67" i="5"/>
  <c r="S67" i="5"/>
  <c r="AA67" i="5"/>
  <c r="O67" i="5"/>
  <c r="O58" i="5"/>
  <c r="O112" i="5"/>
  <c r="O88" i="5"/>
  <c r="S87" i="5"/>
  <c r="AA87" i="5"/>
  <c r="Z87" i="5"/>
  <c r="AA110" i="5"/>
  <c r="Z110" i="5"/>
  <c r="S110" i="5"/>
  <c r="O110" i="5"/>
  <c r="S62" i="5"/>
  <c r="Z62" i="5"/>
  <c r="AA62" i="5"/>
  <c r="Z26" i="5"/>
  <c r="AA26" i="5"/>
  <c r="S26" i="5"/>
  <c r="O26" i="5"/>
  <c r="AA78" i="5"/>
  <c r="Z78" i="5"/>
  <c r="S78" i="5"/>
  <c r="B80" i="5" a="1"/>
  <c r="B80" i="5" s="1"/>
  <c r="B80" i="6" s="1"/>
  <c r="B95" i="5" a="1"/>
  <c r="B95" i="5" s="1"/>
  <c r="B95" i="6" s="1"/>
  <c r="B85" i="5" a="1"/>
  <c r="B85" i="5" s="1"/>
  <c r="B85" i="6" s="1"/>
  <c r="B107" i="5" a="1"/>
  <c r="B107" i="5" s="1"/>
  <c r="B107" i="6" s="1"/>
  <c r="B108" i="5" a="1"/>
  <c r="B108" i="5" s="1"/>
  <c r="B108" i="6" s="1"/>
  <c r="B20" i="5" a="1"/>
  <c r="B20" i="5" s="1"/>
  <c r="B20" i="6" s="1"/>
  <c r="S108" i="5"/>
  <c r="AA108" i="5"/>
  <c r="Z108" i="5"/>
  <c r="S29" i="5"/>
  <c r="Z29" i="5"/>
  <c r="AA29" i="5"/>
  <c r="AA109" i="5"/>
  <c r="S109" i="5"/>
  <c r="Z109" i="5"/>
  <c r="O109" i="5"/>
  <c r="S112" i="5"/>
  <c r="Z112" i="5"/>
  <c r="AA112" i="5"/>
  <c r="AA52" i="5"/>
  <c r="S52" i="5"/>
  <c r="Z52" i="5"/>
  <c r="O52" i="5"/>
  <c r="Z12" i="5"/>
  <c r="O12" i="5"/>
  <c r="AA12" i="5"/>
  <c r="S12" i="5"/>
  <c r="H12" i="5" s="1"/>
  <c r="Z113" i="5"/>
  <c r="AA113" i="5"/>
  <c r="S113" i="5"/>
  <c r="O113" i="5"/>
  <c r="AA74" i="5"/>
  <c r="S74" i="5"/>
  <c r="O74" i="5"/>
  <c r="Z74" i="5"/>
  <c r="O29" i="5"/>
  <c r="B39" i="5" a="1"/>
  <c r="B39" i="5" s="1"/>
  <c r="B39" i="6" s="1"/>
  <c r="B65" i="5" a="1"/>
  <c r="B65" i="5" s="1"/>
  <c r="B65" i="6" s="1"/>
  <c r="B99" i="5" a="1"/>
  <c r="B99" i="5" s="1"/>
  <c r="B99" i="6" s="1"/>
  <c r="B113" i="5" a="1"/>
  <c r="B113" i="5" s="1"/>
  <c r="B113" i="6" s="1"/>
  <c r="B42" i="5" a="1"/>
  <c r="B42" i="5" s="1"/>
  <c r="B42" i="6" s="1"/>
  <c r="B74" i="5" a="1"/>
  <c r="B74" i="5" s="1"/>
  <c r="B74" i="6" s="1"/>
  <c r="B106" i="5" a="1"/>
  <c r="B106" i="5" s="1"/>
  <c r="B106" i="6" s="1"/>
  <c r="Z45" i="5"/>
  <c r="S45" i="5"/>
  <c r="AA45" i="5"/>
  <c r="Z55" i="5"/>
  <c r="S55" i="5"/>
  <c r="AA55" i="5"/>
  <c r="O55" i="5"/>
  <c r="AA90" i="5"/>
  <c r="S90" i="5"/>
  <c r="Z90" i="5"/>
  <c r="O90" i="5"/>
  <c r="S42" i="5"/>
  <c r="Z42" i="5"/>
  <c r="AA42" i="5"/>
  <c r="AA19" i="5"/>
  <c r="Z19" i="5"/>
  <c r="S19" i="5"/>
  <c r="B91" i="5" a="1"/>
  <c r="B91" i="5" s="1"/>
  <c r="B91" i="6" s="1"/>
  <c r="O23" i="5"/>
  <c r="B31" i="5" a="1"/>
  <c r="B31" i="5" s="1"/>
  <c r="B31" i="6" s="1"/>
  <c r="B21" i="5" a="1"/>
  <c r="B21" i="5" s="1"/>
  <c r="B21" i="6" s="1"/>
  <c r="B27" i="5" a="1"/>
  <c r="B27" i="5" s="1"/>
  <c r="B27" i="6" s="1"/>
  <c r="B111" i="5" a="1"/>
  <c r="B111" i="5" s="1"/>
  <c r="B111" i="6" s="1"/>
  <c r="B60" i="5" a="1"/>
  <c r="B60" i="5" s="1"/>
  <c r="B60" i="6" s="1"/>
  <c r="B15" i="5" a="1"/>
  <c r="B15" i="5" s="1"/>
  <c r="B15" i="6" s="1"/>
  <c r="B100" i="5" a="1"/>
  <c r="B100" i="5" s="1"/>
  <c r="B100" i="6" s="1"/>
  <c r="J14" i="5"/>
  <c r="J15" i="5" s="1"/>
  <c r="J16" i="5" s="1"/>
  <c r="J17" i="5" s="1"/>
  <c r="J18" i="5" s="1"/>
  <c r="J19" i="5" s="1"/>
  <c r="J20" i="5" s="1"/>
  <c r="J21" i="5" s="1"/>
  <c r="J22" i="5" s="1"/>
  <c r="J23" i="5" s="1"/>
  <c r="J24" i="5" s="1"/>
  <c r="J25" i="5" s="1"/>
  <c r="J26" i="5" s="1"/>
  <c r="J27" i="5" s="1"/>
  <c r="J28" i="5" s="1"/>
  <c r="J29" i="5" s="1"/>
  <c r="J30" i="5" s="1"/>
  <c r="J31" i="5" s="1"/>
  <c r="J32" i="5" s="1"/>
  <c r="J33" i="5" s="1"/>
  <c r="J34" i="5" s="1"/>
  <c r="J35" i="5" s="1"/>
  <c r="J36" i="5" s="1"/>
  <c r="J37" i="5" s="1"/>
  <c r="J38" i="5" s="1"/>
  <c r="J39" i="5" s="1"/>
  <c r="J40" i="5" s="1"/>
  <c r="J41" i="5" s="1"/>
  <c r="J42" i="5" s="1"/>
  <c r="J43" i="5" s="1"/>
  <c r="J44" i="5" s="1"/>
  <c r="J45" i="5" s="1"/>
  <c r="J46" i="5" s="1"/>
  <c r="J47" i="5" s="1"/>
  <c r="J48" i="5" s="1"/>
  <c r="J49" i="5" s="1"/>
  <c r="J50" i="5" s="1"/>
  <c r="J51" i="5" s="1"/>
  <c r="J52" i="5" s="1"/>
  <c r="J53" i="5" s="1"/>
  <c r="J54" i="5" s="1"/>
  <c r="J55" i="5" s="1"/>
  <c r="J56" i="5" s="1"/>
  <c r="J57" i="5" s="1"/>
  <c r="J58" i="5" s="1"/>
  <c r="J59" i="5" s="1"/>
  <c r="J60" i="5" s="1"/>
  <c r="J61" i="5" s="1"/>
  <c r="J62" i="5" s="1"/>
  <c r="J63" i="5" s="1"/>
  <c r="J64" i="5" s="1"/>
  <c r="J65" i="5" s="1"/>
  <c r="J66" i="5" s="1"/>
  <c r="J67" i="5" s="1"/>
  <c r="J68" i="5" s="1"/>
  <c r="J69" i="5" s="1"/>
  <c r="J70" i="5" s="1"/>
  <c r="J71" i="5" s="1"/>
  <c r="J72" i="5" s="1"/>
  <c r="J73" i="5" s="1"/>
  <c r="J74" i="5" s="1"/>
  <c r="J75" i="5" s="1"/>
  <c r="J76" i="5" s="1"/>
  <c r="J77" i="5" s="1"/>
  <c r="J78" i="5" s="1"/>
  <c r="J79" i="5" s="1"/>
  <c r="J80" i="5" s="1"/>
  <c r="J81" i="5" s="1"/>
  <c r="J82" i="5" s="1"/>
  <c r="J83" i="5" s="1"/>
  <c r="J84" i="5" s="1"/>
  <c r="J85" i="5" s="1"/>
  <c r="J86" i="5" s="1"/>
  <c r="J87" i="5" s="1"/>
  <c r="J88" i="5" s="1"/>
  <c r="J89" i="5" s="1"/>
  <c r="J90" i="5" s="1"/>
  <c r="J91" i="5" s="1"/>
  <c r="J92" i="5" s="1"/>
  <c r="J93" i="5" s="1"/>
  <c r="J94" i="5" s="1"/>
  <c r="J95" i="5" s="1"/>
  <c r="J96" i="5" s="1"/>
  <c r="J97" i="5" s="1"/>
  <c r="J98" i="5" s="1"/>
  <c r="J99" i="5" s="1"/>
  <c r="J100" i="5" s="1"/>
  <c r="J101" i="5" s="1"/>
  <c r="J102" i="5" s="1"/>
  <c r="J103" i="5" s="1"/>
  <c r="J104" i="5" s="1"/>
  <c r="J105" i="5" s="1"/>
  <c r="J106" i="5" s="1"/>
  <c r="J107" i="5" s="1"/>
  <c r="J108" i="5" s="1"/>
  <c r="J109" i="5" s="1"/>
  <c r="J110" i="5" s="1"/>
  <c r="J111" i="5" s="1"/>
  <c r="J112" i="5" s="1"/>
  <c r="J113" i="5" s="1"/>
  <c r="J114" i="5" s="1"/>
  <c r="J115" i="5" s="1"/>
  <c r="J116" i="5" s="1"/>
  <c r="Z80" i="5"/>
  <c r="AA80" i="5"/>
  <c r="S80" i="5"/>
  <c r="AA68" i="5"/>
  <c r="S68" i="5"/>
  <c r="Z68" i="5"/>
  <c r="O68" i="5"/>
  <c r="S25" i="5"/>
  <c r="AA25" i="5"/>
  <c r="Z25" i="5"/>
  <c r="O25" i="5"/>
  <c r="Z97" i="5"/>
  <c r="AA97" i="5"/>
  <c r="S97" i="5"/>
  <c r="S24" i="5"/>
  <c r="Z24" i="5"/>
  <c r="AA24" i="5"/>
  <c r="O24" i="5"/>
  <c r="S57" i="5"/>
  <c r="Z57" i="5"/>
  <c r="AA57" i="5"/>
  <c r="Z79" i="5"/>
  <c r="S79" i="5"/>
  <c r="AA79" i="5"/>
  <c r="O79" i="5"/>
  <c r="S115" i="5"/>
  <c r="Z115" i="5"/>
  <c r="AA115" i="5"/>
  <c r="O115" i="5"/>
  <c r="O80" i="5"/>
  <c r="B17" i="5" a="1"/>
  <c r="B17" i="5" s="1"/>
  <c r="B17" i="6" s="1"/>
  <c r="B51" i="5" a="1"/>
  <c r="B51" i="5" s="1"/>
  <c r="B51" i="6" s="1"/>
  <c r="B77" i="5" a="1"/>
  <c r="B77" i="5" s="1"/>
  <c r="B77" i="6" s="1"/>
  <c r="B30" i="5" a="1"/>
  <c r="B30" i="5" s="1"/>
  <c r="B30" i="6" s="1"/>
  <c r="B46" i="5" a="1"/>
  <c r="B46" i="5" s="1"/>
  <c r="B46" i="6" s="1"/>
  <c r="B62" i="5" a="1"/>
  <c r="B62" i="5" s="1"/>
  <c r="B62" i="6" s="1"/>
  <c r="B78" i="5" a="1"/>
  <c r="B78" i="5" s="1"/>
  <c r="B78" i="6" s="1"/>
  <c r="B94" i="5" a="1"/>
  <c r="B94" i="5" s="1"/>
  <c r="B94" i="6" s="1"/>
  <c r="B110" i="5" a="1"/>
  <c r="B110" i="5" s="1"/>
  <c r="B110" i="6" s="1"/>
  <c r="Q14" i="6"/>
  <c r="Q15" i="6" s="1"/>
  <c r="Q16" i="6" s="1"/>
  <c r="Q17" i="6" s="1"/>
  <c r="Q18" i="6" s="1"/>
  <c r="Q19" i="6" s="1"/>
  <c r="Q20" i="6" s="1"/>
  <c r="Q21" i="6" s="1"/>
  <c r="Q22" i="6" s="1"/>
  <c r="Q23" i="6" s="1"/>
  <c r="Q24" i="6" s="1"/>
  <c r="Q25" i="6" s="1"/>
  <c r="Q26" i="6" s="1"/>
  <c r="Q27" i="6" s="1"/>
  <c r="Q28" i="6" s="1"/>
  <c r="Q29" i="6" s="1"/>
  <c r="Q30" i="6" s="1"/>
  <c r="Q31" i="6" s="1"/>
  <c r="Q32" i="6" s="1"/>
  <c r="Q33" i="6" s="1"/>
  <c r="Q34" i="6" s="1"/>
  <c r="Q35" i="6" s="1"/>
  <c r="Q36" i="6" s="1"/>
  <c r="Q37" i="6" s="1"/>
  <c r="Q38" i="6" s="1"/>
  <c r="Q39" i="6" s="1"/>
  <c r="Q40" i="6" s="1"/>
  <c r="Q41" i="6" s="1"/>
  <c r="Q42" i="6" s="1"/>
  <c r="Q43" i="6" s="1"/>
  <c r="Q44" i="6" s="1"/>
  <c r="Q45" i="6" s="1"/>
  <c r="Q46" i="6" s="1"/>
  <c r="Q47" i="6" s="1"/>
  <c r="Q48" i="6" s="1"/>
  <c r="Q49" i="6" s="1"/>
  <c r="Q50" i="6" s="1"/>
  <c r="Q51" i="6" s="1"/>
  <c r="Q52" i="6" s="1"/>
  <c r="Q53" i="6" s="1"/>
  <c r="Q54" i="6" s="1"/>
  <c r="Q55" i="6" s="1"/>
  <c r="Q56" i="6" s="1"/>
  <c r="Q57" i="6" s="1"/>
  <c r="Q58" i="6" s="1"/>
  <c r="Q59" i="6" s="1"/>
  <c r="Q60" i="6" s="1"/>
  <c r="Q61" i="6" s="1"/>
  <c r="Q62" i="6" s="1"/>
  <c r="Q63" i="6" s="1"/>
  <c r="Q64" i="6" s="1"/>
  <c r="Q65" i="6" s="1"/>
  <c r="Q66" i="6" s="1"/>
  <c r="Q67" i="6" s="1"/>
  <c r="Q68" i="6" s="1"/>
  <c r="Q69" i="6" s="1"/>
  <c r="Q70" i="6" s="1"/>
  <c r="Q71" i="6" s="1"/>
  <c r="Q72" i="6" s="1"/>
  <c r="Q73" i="6" s="1"/>
  <c r="Q74" i="6" s="1"/>
  <c r="Q75" i="6" s="1"/>
  <c r="Q76" i="6" s="1"/>
  <c r="Q77" i="6" s="1"/>
  <c r="Q78" i="6" s="1"/>
  <c r="Q79" i="6" s="1"/>
  <c r="Q80" i="6" s="1"/>
  <c r="Q81" i="6" s="1"/>
  <c r="Q82" i="6" s="1"/>
  <c r="Q83" i="6" s="1"/>
  <c r="Q84" i="6" s="1"/>
  <c r="Q85" i="6" s="1"/>
  <c r="Q86" i="6" s="1"/>
  <c r="Q87" i="6" s="1"/>
  <c r="Q88" i="6" s="1"/>
  <c r="Q89" i="6" s="1"/>
  <c r="Q90" i="6" s="1"/>
  <c r="Q91" i="6" s="1"/>
  <c r="Q92" i="6" s="1"/>
  <c r="Q93" i="6" s="1"/>
  <c r="Q94" i="6" s="1"/>
  <c r="Q95" i="6" s="1"/>
  <c r="Q96" i="6" s="1"/>
  <c r="Q97" i="6" s="1"/>
  <c r="Q98" i="6" s="1"/>
  <c r="Q99" i="6" s="1"/>
  <c r="Q100" i="6" s="1"/>
  <c r="Q101" i="6" s="1"/>
  <c r="Q102" i="6" s="1"/>
  <c r="Q103" i="6" s="1"/>
  <c r="Q104" i="6" s="1"/>
  <c r="Q105" i="6" s="1"/>
  <c r="Q106" i="6" s="1"/>
  <c r="Q107" i="6" s="1"/>
  <c r="Q108" i="6" s="1"/>
  <c r="Q109" i="6" s="1"/>
  <c r="Q110" i="6" s="1"/>
  <c r="Q111" i="6" s="1"/>
  <c r="Q112" i="6" s="1"/>
  <c r="Q113" i="6" s="1"/>
  <c r="Q114" i="6" s="1"/>
  <c r="Q115" i="6" s="1"/>
  <c r="Q116" i="6" s="1"/>
  <c r="S83" i="5"/>
  <c r="Z83" i="5"/>
  <c r="AA83" i="5"/>
  <c r="AA77" i="5"/>
  <c r="S77" i="5"/>
  <c r="Z77" i="5"/>
  <c r="O77" i="5"/>
  <c r="O15" i="5"/>
  <c r="S15" i="5"/>
  <c r="H15" i="5" s="1"/>
  <c r="AA15" i="5"/>
  <c r="Z15" i="5"/>
  <c r="AA102" i="5"/>
  <c r="S102" i="5"/>
  <c r="Z102" i="5"/>
  <c r="O102" i="5"/>
  <c r="AA86" i="5"/>
  <c r="Z86" i="5"/>
  <c r="S86" i="5"/>
  <c r="O86" i="5"/>
  <c r="Z54" i="5"/>
  <c r="AA54" i="5"/>
  <c r="S54" i="5"/>
  <c r="S38" i="5"/>
  <c r="Z38" i="5"/>
  <c r="AA38" i="5"/>
  <c r="Z18" i="5"/>
  <c r="S18" i="5"/>
  <c r="AA18" i="5"/>
  <c r="Z17" i="5"/>
  <c r="O17" i="5"/>
  <c r="S17" i="5"/>
  <c r="AA17" i="5"/>
  <c r="AA43" i="5"/>
  <c r="Z43" i="5"/>
  <c r="S43" i="5"/>
  <c r="O42" i="5"/>
  <c r="O46" i="5"/>
  <c r="O83" i="5"/>
  <c r="O43" i="5"/>
  <c r="B40" i="5" a="1"/>
  <c r="B40" i="5" s="1"/>
  <c r="B40" i="6" s="1"/>
  <c r="B109" i="5" a="1"/>
  <c r="B109" i="5" s="1"/>
  <c r="B109" i="6" s="1"/>
  <c r="B48" i="5" a="1"/>
  <c r="B48" i="5" s="1"/>
  <c r="B48" i="6" s="1"/>
  <c r="B53" i="5" a="1"/>
  <c r="B53" i="5" s="1"/>
  <c r="B53" i="6" s="1"/>
  <c r="B25" i="5" a="1"/>
  <c r="B25" i="5" s="1"/>
  <c r="B25" i="6" s="1"/>
  <c r="B64" i="5" a="1"/>
  <c r="B64" i="5" s="1"/>
  <c r="B64" i="6" s="1"/>
  <c r="B73" i="5" a="1"/>
  <c r="B73" i="5" s="1"/>
  <c r="B73" i="6" s="1"/>
  <c r="B12" i="5" a="1"/>
  <c r="B12" i="5" s="1"/>
  <c r="B12" i="6" s="1"/>
  <c r="B76" i="5" a="1"/>
  <c r="B76" i="5" s="1"/>
  <c r="B76" i="6" s="1"/>
  <c r="B79" i="5" a="1"/>
  <c r="B79" i="5" s="1"/>
  <c r="B79" i="6" s="1"/>
  <c r="B37" i="5" a="1"/>
  <c r="B37" i="5" s="1"/>
  <c r="B37" i="6" s="1"/>
  <c r="B52" i="5" a="1"/>
  <c r="B52" i="5" s="1"/>
  <c r="B52" i="6" s="1"/>
  <c r="B116" i="5" a="1"/>
  <c r="B116" i="5" s="1"/>
  <c r="B116" i="6" s="1"/>
  <c r="J13" i="5"/>
  <c r="Z37" i="5"/>
  <c r="S37" i="5"/>
  <c r="AA37" i="5"/>
  <c r="S89" i="5"/>
  <c r="AA89" i="5"/>
  <c r="Z89" i="5"/>
  <c r="O89" i="5"/>
  <c r="AA100" i="5"/>
  <c r="Z100" i="5"/>
  <c r="S100" i="5"/>
  <c r="O100" i="5"/>
  <c r="S64" i="5"/>
  <c r="Z64" i="5"/>
  <c r="AA64" i="5"/>
  <c r="O64" i="5"/>
  <c r="S91" i="5"/>
  <c r="AA91" i="5"/>
  <c r="Z91" i="5"/>
  <c r="O91" i="5"/>
  <c r="S61" i="5"/>
  <c r="Z61" i="5"/>
  <c r="AA61" i="5"/>
  <c r="Z72" i="5"/>
  <c r="AA72" i="5"/>
  <c r="S72" i="5"/>
  <c r="O72" i="5"/>
  <c r="S60" i="5"/>
  <c r="Z60" i="5"/>
  <c r="AA60" i="5"/>
  <c r="O60" i="5"/>
  <c r="S40" i="5"/>
  <c r="AA40" i="5"/>
  <c r="Z40" i="5"/>
  <c r="O40" i="5"/>
  <c r="S20" i="5"/>
  <c r="AA20" i="5"/>
  <c r="Z20" i="5"/>
  <c r="O20" i="5"/>
  <c r="S53" i="5"/>
  <c r="Z53" i="5"/>
  <c r="AA53" i="5"/>
  <c r="Z95" i="5"/>
  <c r="S95" i="5"/>
  <c r="AA95" i="5"/>
  <c r="S65" i="5"/>
  <c r="AA65" i="5"/>
  <c r="Z65" i="5"/>
  <c r="AA31" i="5"/>
  <c r="S31" i="5"/>
  <c r="Z31" i="5"/>
  <c r="O31" i="5"/>
  <c r="S93" i="5"/>
  <c r="AA93" i="5"/>
  <c r="O93" i="5"/>
  <c r="Z93" i="5"/>
  <c r="O108" i="5"/>
  <c r="O71" i="5"/>
  <c r="O59" i="5"/>
  <c r="O97" i="5"/>
  <c r="AE15" i="5" l="1"/>
  <c r="AE16" i="5" s="1"/>
  <c r="AE17" i="5" s="1"/>
  <c r="AE18" i="5" s="1"/>
  <c r="AE19" i="5" s="1"/>
  <c r="AE20" i="5" s="1"/>
  <c r="AE21" i="5" s="1"/>
  <c r="AE22" i="5" s="1"/>
  <c r="AE23" i="5" s="1"/>
  <c r="AE24" i="5" s="1"/>
  <c r="AE25" i="5" s="1"/>
  <c r="AE26" i="5" s="1"/>
  <c r="AE27" i="5" s="1"/>
  <c r="AE28" i="5" s="1"/>
  <c r="AE29" i="5" s="1"/>
  <c r="AE30" i="5" s="1"/>
  <c r="AE31" i="5" s="1"/>
  <c r="AE32" i="5" s="1"/>
  <c r="AE33" i="5" s="1"/>
  <c r="AE34" i="5" s="1"/>
  <c r="AE35" i="5" s="1"/>
  <c r="AE36" i="5" s="1"/>
  <c r="AE37" i="5" s="1"/>
  <c r="AE38" i="5" s="1"/>
  <c r="AE39" i="5" s="1"/>
  <c r="AE40" i="5" s="1"/>
  <c r="AE41" i="5" s="1"/>
  <c r="AE42" i="5" s="1"/>
  <c r="AE43" i="5" s="1"/>
  <c r="AE44" i="5" s="1"/>
  <c r="AE45" i="5" s="1"/>
  <c r="AE46" i="5" s="1"/>
  <c r="AE47" i="5" s="1"/>
  <c r="AE48" i="5" s="1"/>
  <c r="AE49" i="5" s="1"/>
  <c r="AE50" i="5" s="1"/>
  <c r="AE51" i="5" s="1"/>
  <c r="AE52" i="5" s="1"/>
  <c r="AE53" i="5" s="1"/>
  <c r="AE54" i="5" s="1"/>
  <c r="AE55" i="5" s="1"/>
  <c r="AE56" i="5" s="1"/>
  <c r="AE57" i="5" s="1"/>
  <c r="AE58" i="5" s="1"/>
  <c r="AE59" i="5" s="1"/>
  <c r="AE60" i="5" s="1"/>
  <c r="AE61" i="5" s="1"/>
  <c r="AE62" i="5" s="1"/>
  <c r="AE63" i="5" s="1"/>
  <c r="AE64" i="5" s="1"/>
  <c r="AE65" i="5" s="1"/>
  <c r="AE66" i="5" s="1"/>
  <c r="AE67" i="5" s="1"/>
  <c r="AE68" i="5" s="1"/>
  <c r="AE69" i="5" s="1"/>
  <c r="AE70" i="5" s="1"/>
  <c r="AE71" i="5" s="1"/>
  <c r="AE72" i="5" s="1"/>
  <c r="AE73" i="5" s="1"/>
  <c r="AE74" i="5" s="1"/>
  <c r="AE75" i="5" s="1"/>
  <c r="AE76" i="5" s="1"/>
  <c r="AE77" i="5" s="1"/>
  <c r="AE78" i="5" s="1"/>
  <c r="AE79" i="5" s="1"/>
  <c r="AE80" i="5" s="1"/>
  <c r="AE81" i="5" s="1"/>
  <c r="AE82" i="5" s="1"/>
  <c r="AE83" i="5" s="1"/>
  <c r="AE84" i="5" s="1"/>
  <c r="AE85" i="5" s="1"/>
  <c r="AE86" i="5" s="1"/>
  <c r="AE87" i="5" s="1"/>
  <c r="AE88" i="5" s="1"/>
  <c r="AE89" i="5" s="1"/>
  <c r="AE90" i="5" s="1"/>
  <c r="AE91" i="5" s="1"/>
  <c r="AE92" i="5" s="1"/>
  <c r="AE93" i="5" s="1"/>
  <c r="AE94" i="5" s="1"/>
  <c r="AE95" i="5" s="1"/>
  <c r="AE96" i="5" s="1"/>
  <c r="AE97" i="5" s="1"/>
  <c r="AE98" i="5" s="1"/>
  <c r="AE99" i="5" s="1"/>
  <c r="AE100" i="5" s="1"/>
  <c r="AE101" i="5" s="1"/>
  <c r="AE102" i="5" s="1"/>
  <c r="AE103" i="5" s="1"/>
  <c r="AE104" i="5" s="1"/>
  <c r="AE105" i="5" s="1"/>
  <c r="AE106" i="5" s="1"/>
  <c r="AE107" i="5" s="1"/>
  <c r="AE108" i="5" s="1"/>
  <c r="AE109" i="5" s="1"/>
  <c r="AE110" i="5" s="1"/>
  <c r="AE111" i="5" s="1"/>
  <c r="AE112" i="5" s="1"/>
  <c r="AE113" i="5" s="1"/>
  <c r="AE114" i="5" s="1"/>
  <c r="AE115" i="5" s="1"/>
  <c r="AE116" i="5" s="1"/>
  <c r="AE14" i="5"/>
  <c r="AA117" i="5"/>
  <c r="M11" i="5"/>
  <c r="X11" i="5"/>
  <c r="M15" i="5"/>
  <c r="X15" i="5"/>
  <c r="M14" i="5"/>
  <c r="X14" i="5"/>
  <c r="X13" i="5"/>
  <c r="AB13" i="5"/>
  <c r="AB14" i="5" s="1"/>
  <c r="AB15" i="5" s="1"/>
  <c r="M13" i="5"/>
  <c r="AD13" i="5" s="1"/>
  <c r="H16" i="5"/>
  <c r="X12" i="5"/>
  <c r="M12" i="5"/>
  <c r="Z117" i="5"/>
  <c r="AD14" i="5" l="1"/>
  <c r="X16" i="5"/>
  <c r="AB16" i="5"/>
  <c r="M16" i="5"/>
  <c r="AD16" i="5" s="1"/>
  <c r="H17" i="5"/>
  <c r="AD15" i="5"/>
  <c r="AB17" i="5" l="1"/>
  <c r="X17" i="5"/>
  <c r="M17" i="5"/>
  <c r="AD17" i="5" s="1"/>
  <c r="H18" i="5"/>
  <c r="M18" i="5" l="1"/>
  <c r="AD18" i="5" s="1"/>
  <c r="X18" i="5"/>
  <c r="AB18" i="5"/>
  <c r="H19" i="5"/>
  <c r="M19" i="5" l="1"/>
  <c r="AD19" i="5" s="1"/>
  <c r="AB19" i="5"/>
  <c r="X19" i="5"/>
  <c r="H20" i="5"/>
  <c r="X20" i="5" l="1"/>
  <c r="AB20" i="5"/>
  <c r="M20" i="5"/>
  <c r="AD20" i="5" s="1"/>
  <c r="H21" i="5"/>
  <c r="X21" i="5" l="1"/>
  <c r="AB21" i="5"/>
  <c r="M21" i="5"/>
  <c r="AD21" i="5" s="1"/>
  <c r="H22" i="5"/>
  <c r="M22" i="5" l="1"/>
  <c r="AD22" i="5" s="1"/>
  <c r="AB22" i="5"/>
  <c r="X22" i="5"/>
  <c r="H23" i="5"/>
  <c r="M23" i="5" l="1"/>
  <c r="AD23" i="5" s="1"/>
  <c r="X23" i="5"/>
  <c r="AB23" i="5"/>
  <c r="H24" i="5"/>
  <c r="AB24" i="5" l="1"/>
  <c r="X24" i="5"/>
  <c r="M24" i="5"/>
  <c r="AD24" i="5" s="1"/>
  <c r="H25" i="5"/>
  <c r="X25" i="5" l="1"/>
  <c r="AB25" i="5"/>
  <c r="M25" i="5"/>
  <c r="AD25" i="5" s="1"/>
  <c r="H26" i="5"/>
  <c r="M26" i="5" l="1"/>
  <c r="AD26" i="5" s="1"/>
  <c r="AB26" i="5"/>
  <c r="X26" i="5"/>
  <c r="H27" i="5"/>
  <c r="M27" i="5" l="1"/>
  <c r="AD27" i="5" s="1"/>
  <c r="X27" i="5"/>
  <c r="AB27" i="5"/>
  <c r="H28" i="5"/>
  <c r="X28" i="5" l="1"/>
  <c r="AB28" i="5"/>
  <c r="M28" i="5"/>
  <c r="AD28" i="5" s="1"/>
  <c r="H29" i="5"/>
  <c r="AB29" i="5" l="1"/>
  <c r="M29" i="5"/>
  <c r="AD29" i="5" s="1"/>
  <c r="X29" i="5"/>
  <c r="H30" i="5"/>
  <c r="AB30" i="5" l="1"/>
  <c r="M30" i="5"/>
  <c r="AD30" i="5" s="1"/>
  <c r="X30" i="5"/>
  <c r="H31" i="5"/>
  <c r="M31" i="5" l="1"/>
  <c r="AD31" i="5" s="1"/>
  <c r="AB31" i="5"/>
  <c r="X31" i="5"/>
  <c r="H32" i="5"/>
  <c r="X32" i="5" l="1"/>
  <c r="AB32" i="5"/>
  <c r="M32" i="5"/>
  <c r="AD32" i="5" s="1"/>
  <c r="H33" i="5"/>
  <c r="AB33" i="5" l="1"/>
  <c r="X33" i="5"/>
  <c r="M33" i="5"/>
  <c r="AD33" i="5" s="1"/>
  <c r="H34" i="5"/>
  <c r="M34" i="5" l="1"/>
  <c r="AD34" i="5" s="1"/>
  <c r="AB34" i="5"/>
  <c r="H35" i="5"/>
  <c r="X34" i="5"/>
  <c r="M35" i="5" l="1"/>
  <c r="AD35" i="5" s="1"/>
  <c r="X35" i="5"/>
  <c r="AB35" i="5"/>
  <c r="H36" i="5"/>
  <c r="M36" i="5" l="1"/>
  <c r="AD36" i="5" s="1"/>
  <c r="X36" i="5"/>
  <c r="AB36" i="5"/>
  <c r="H37" i="5"/>
  <c r="X37" i="5" l="1"/>
  <c r="AB37" i="5"/>
  <c r="M37" i="5"/>
  <c r="AD37" i="5" s="1"/>
  <c r="H38" i="5"/>
  <c r="AB38" i="5" l="1"/>
  <c r="X38" i="5"/>
  <c r="M38" i="5"/>
  <c r="AD38" i="5" s="1"/>
  <c r="H39" i="5"/>
  <c r="M39" i="5" l="1"/>
  <c r="AD39" i="5" s="1"/>
  <c r="X39" i="5"/>
  <c r="AB39" i="5"/>
  <c r="H40" i="5"/>
  <c r="X40" i="5" l="1"/>
  <c r="AB40" i="5"/>
  <c r="M40" i="5"/>
  <c r="AD40" i="5" s="1"/>
  <c r="H41" i="5"/>
  <c r="AB41" i="5" l="1"/>
  <c r="X41" i="5"/>
  <c r="M41" i="5"/>
  <c r="AD41" i="5" s="1"/>
  <c r="H42" i="5"/>
  <c r="M42" i="5" l="1"/>
  <c r="AD42" i="5" s="1"/>
  <c r="X42" i="5"/>
  <c r="AB42" i="5"/>
  <c r="H43" i="5"/>
  <c r="M43" i="5" l="1"/>
  <c r="AD43" i="5" s="1"/>
  <c r="X43" i="5"/>
  <c r="AB43" i="5"/>
  <c r="H44" i="5"/>
  <c r="M44" i="5" l="1"/>
  <c r="AD44" i="5" s="1"/>
  <c r="X44" i="5"/>
  <c r="AB44" i="5"/>
  <c r="H45" i="5"/>
  <c r="AB45" i="5" l="1"/>
  <c r="X45" i="5"/>
  <c r="M45" i="5"/>
  <c r="AD45" i="5" s="1"/>
  <c r="H46" i="5"/>
  <c r="M46" i="5" l="1"/>
  <c r="AD46" i="5" s="1"/>
  <c r="X46" i="5"/>
  <c r="AB46" i="5"/>
  <c r="H47" i="5"/>
  <c r="M47" i="5" l="1"/>
  <c r="AD47" i="5" s="1"/>
  <c r="X47" i="5"/>
  <c r="AB47" i="5"/>
  <c r="H48" i="5"/>
  <c r="X48" i="5" l="1"/>
  <c r="AB48" i="5"/>
  <c r="M48" i="5"/>
  <c r="AD48" i="5" s="1"/>
  <c r="H49" i="5"/>
  <c r="AB49" i="5" l="1"/>
  <c r="M49" i="5"/>
  <c r="AD49" i="5" s="1"/>
  <c r="X49" i="5"/>
  <c r="H50" i="5"/>
  <c r="M50" i="5" l="1"/>
  <c r="AD50" i="5" s="1"/>
  <c r="X50" i="5"/>
  <c r="AB50" i="5"/>
  <c r="H51" i="5"/>
  <c r="M51" i="5" l="1"/>
  <c r="AD51" i="5" s="1"/>
  <c r="AB51" i="5"/>
  <c r="X51" i="5"/>
  <c r="H52" i="5"/>
  <c r="AB52" i="5" l="1"/>
  <c r="M52" i="5"/>
  <c r="AD52" i="5" s="1"/>
  <c r="X52" i="5"/>
  <c r="H53" i="5"/>
  <c r="X53" i="5" l="1"/>
  <c r="AB53" i="5"/>
  <c r="M53" i="5"/>
  <c r="AD53" i="5" s="1"/>
  <c r="H54" i="5"/>
  <c r="M54" i="5" l="1"/>
  <c r="AD54" i="5" s="1"/>
  <c r="X54" i="5"/>
  <c r="AB54" i="5"/>
  <c r="H55" i="5"/>
  <c r="M55" i="5" l="1"/>
  <c r="AD55" i="5" s="1"/>
  <c r="X55" i="5"/>
  <c r="AB55" i="5"/>
  <c r="H56" i="5"/>
  <c r="X56" i="5" l="1"/>
  <c r="AB56" i="5"/>
  <c r="M56" i="5"/>
  <c r="AD56" i="5" s="1"/>
  <c r="H57" i="5"/>
  <c r="M57" i="5" l="1"/>
  <c r="AD57" i="5" s="1"/>
  <c r="AB57" i="5"/>
  <c r="X57" i="5"/>
  <c r="H58" i="5"/>
  <c r="M58" i="5" l="1"/>
  <c r="AD58" i="5" s="1"/>
  <c r="X58" i="5"/>
  <c r="AB58" i="5"/>
  <c r="H59" i="5"/>
  <c r="X59" i="5" l="1"/>
  <c r="M59" i="5"/>
  <c r="AD59" i="5" s="1"/>
  <c r="AB59" i="5"/>
  <c r="H60" i="5"/>
  <c r="AB60" i="5" l="1"/>
  <c r="X60" i="5"/>
  <c r="M60" i="5"/>
  <c r="AD60" i="5" s="1"/>
  <c r="H61" i="5"/>
  <c r="AB61" i="5" l="1"/>
  <c r="M61" i="5"/>
  <c r="AD61" i="5" s="1"/>
  <c r="X61" i="5"/>
  <c r="H62" i="5"/>
  <c r="X62" i="5" l="1"/>
  <c r="AB62" i="5"/>
  <c r="M62" i="5"/>
  <c r="AD62" i="5" s="1"/>
  <c r="H63" i="5"/>
  <c r="M63" i="5" l="1"/>
  <c r="AD63" i="5" s="1"/>
  <c r="AB63" i="5"/>
  <c r="X63" i="5"/>
  <c r="H64" i="5"/>
  <c r="X64" i="5" l="1"/>
  <c r="AB64" i="5"/>
  <c r="M64" i="5"/>
  <c r="AD64" i="5" s="1"/>
  <c r="H65" i="5"/>
  <c r="X65" i="5" l="1"/>
  <c r="M65" i="5"/>
  <c r="AD65" i="5" s="1"/>
  <c r="AB65" i="5"/>
  <c r="H66" i="5"/>
  <c r="M66" i="5" l="1"/>
  <c r="AD66" i="5" s="1"/>
  <c r="X66" i="5"/>
  <c r="AB66" i="5"/>
  <c r="H67" i="5"/>
  <c r="AB67" i="5" l="1"/>
  <c r="X67" i="5"/>
  <c r="M67" i="5"/>
  <c r="AD67" i="5" s="1"/>
  <c r="H68" i="5"/>
  <c r="M68" i="5" l="1"/>
  <c r="AD68" i="5" s="1"/>
  <c r="X68" i="5"/>
  <c r="AB68" i="5"/>
  <c r="H69" i="5"/>
  <c r="AB69" i="5" l="1"/>
  <c r="M69" i="5"/>
  <c r="AD69" i="5" s="1"/>
  <c r="X69" i="5"/>
  <c r="H70" i="5"/>
  <c r="AB70" i="5" l="1"/>
  <c r="X70" i="5"/>
  <c r="M70" i="5"/>
  <c r="AD70" i="5" s="1"/>
  <c r="H71" i="5"/>
  <c r="M71" i="5" l="1"/>
  <c r="AD71" i="5" s="1"/>
  <c r="AB71" i="5"/>
  <c r="X71" i="5"/>
  <c r="H72" i="5"/>
  <c r="AB72" i="5" l="1"/>
  <c r="X72" i="5"/>
  <c r="M72" i="5"/>
  <c r="AD72" i="5" s="1"/>
  <c r="H73" i="5"/>
  <c r="M73" i="5" l="1"/>
  <c r="AD73" i="5" s="1"/>
  <c r="X73" i="5"/>
  <c r="AB73" i="5"/>
  <c r="H74" i="5"/>
  <c r="X74" i="5" l="1"/>
  <c r="AB74" i="5"/>
  <c r="M74" i="5"/>
  <c r="AD74" i="5" s="1"/>
  <c r="H75" i="5"/>
  <c r="M75" i="5" l="1"/>
  <c r="AD75" i="5" s="1"/>
  <c r="X75" i="5"/>
  <c r="AB75" i="5"/>
  <c r="H76" i="5"/>
  <c r="AB76" i="5" l="1"/>
  <c r="X76" i="5"/>
  <c r="M76" i="5"/>
  <c r="AD76" i="5" s="1"/>
  <c r="H77" i="5"/>
  <c r="M77" i="5" l="1"/>
  <c r="AD77" i="5" s="1"/>
  <c r="X77" i="5"/>
  <c r="AB77" i="5"/>
  <c r="H78" i="5"/>
  <c r="M78" i="5" l="1"/>
  <c r="AD78" i="5" s="1"/>
  <c r="X78" i="5"/>
  <c r="AB78" i="5"/>
  <c r="H79" i="5"/>
  <c r="AB79" i="5" l="1"/>
  <c r="X79" i="5"/>
  <c r="M79" i="5"/>
  <c r="AD79" i="5" s="1"/>
  <c r="H80" i="5"/>
  <c r="M80" i="5" l="1"/>
  <c r="AD80" i="5" s="1"/>
  <c r="X80" i="5"/>
  <c r="AB80" i="5"/>
  <c r="H81" i="5"/>
  <c r="X81" i="5" l="1"/>
  <c r="AB81" i="5"/>
  <c r="M81" i="5"/>
  <c r="AD81" i="5" s="1"/>
  <c r="H82" i="5"/>
  <c r="X82" i="5" l="1"/>
  <c r="M82" i="5"/>
  <c r="AD82" i="5" s="1"/>
  <c r="AB82" i="5"/>
  <c r="H83" i="5"/>
  <c r="AB83" i="5" l="1"/>
  <c r="X83" i="5"/>
  <c r="M83" i="5"/>
  <c r="AD83" i="5" s="1"/>
  <c r="H84" i="5"/>
  <c r="AB84" i="5" l="1"/>
  <c r="M84" i="5"/>
  <c r="AD84" i="5" s="1"/>
  <c r="X84" i="5"/>
  <c r="H85" i="5"/>
  <c r="AB85" i="5" l="1"/>
  <c r="X85" i="5"/>
  <c r="M85" i="5"/>
  <c r="AD85" i="5" s="1"/>
  <c r="H86" i="5"/>
  <c r="AB86" i="5" l="1"/>
  <c r="M86" i="5"/>
  <c r="AD86" i="5" s="1"/>
  <c r="X86" i="5"/>
  <c r="H87" i="5"/>
  <c r="M87" i="5" l="1"/>
  <c r="AD87" i="5" s="1"/>
  <c r="X87" i="5"/>
  <c r="AB87" i="5"/>
  <c r="H88" i="5"/>
  <c r="X88" i="5" l="1"/>
  <c r="M88" i="5"/>
  <c r="AD88" i="5" s="1"/>
  <c r="AB88" i="5"/>
  <c r="H89" i="5"/>
  <c r="X89" i="5" l="1"/>
  <c r="M89" i="5"/>
  <c r="AD89" i="5" s="1"/>
  <c r="AB89" i="5"/>
  <c r="H90" i="5"/>
  <c r="M90" i="5" l="1"/>
  <c r="AD90" i="5" s="1"/>
  <c r="AB90" i="5"/>
  <c r="X90" i="5"/>
  <c r="H91" i="5"/>
  <c r="M91" i="5" l="1"/>
  <c r="AD91" i="5" s="1"/>
  <c r="AB91" i="5"/>
  <c r="X91" i="5"/>
  <c r="H92" i="5"/>
  <c r="AB92" i="5" l="1"/>
  <c r="X92" i="5"/>
  <c r="M92" i="5"/>
  <c r="AD92" i="5" s="1"/>
  <c r="H93" i="5"/>
  <c r="AB93" i="5" l="1"/>
  <c r="X93" i="5"/>
  <c r="M93" i="5"/>
  <c r="AD93" i="5" s="1"/>
  <c r="H94" i="5"/>
  <c r="M94" i="5" l="1"/>
  <c r="AD94" i="5" s="1"/>
  <c r="AB94" i="5"/>
  <c r="X94" i="5"/>
  <c r="H95" i="5"/>
  <c r="X95" i="5" l="1"/>
  <c r="AB95" i="5"/>
  <c r="M95" i="5"/>
  <c r="AD95" i="5" s="1"/>
  <c r="H96" i="5"/>
  <c r="AB96" i="5" l="1"/>
  <c r="X96" i="5"/>
  <c r="M96" i="5"/>
  <c r="AD96" i="5" s="1"/>
  <c r="H97" i="5"/>
  <c r="M97" i="5" l="1"/>
  <c r="AD97" i="5" s="1"/>
  <c r="AB97" i="5"/>
  <c r="X97" i="5"/>
  <c r="H98" i="5"/>
  <c r="X98" i="5" l="1"/>
  <c r="AB98" i="5"/>
  <c r="M98" i="5"/>
  <c r="AD98" i="5" s="1"/>
  <c r="H99" i="5"/>
  <c r="AB99" i="5" l="1"/>
  <c r="X99" i="5"/>
  <c r="M99" i="5"/>
  <c r="AD99" i="5" s="1"/>
  <c r="H100" i="5"/>
  <c r="X100" i="5" l="1"/>
  <c r="M100" i="5"/>
  <c r="AD100" i="5" s="1"/>
  <c r="AB100" i="5"/>
  <c r="H101" i="5"/>
  <c r="X101" i="5" l="1"/>
  <c r="M101" i="5"/>
  <c r="AD101" i="5" s="1"/>
  <c r="AB101" i="5"/>
  <c r="H102" i="5"/>
  <c r="AB102" i="5" l="1"/>
  <c r="X102" i="5"/>
  <c r="M102" i="5"/>
  <c r="AD102" i="5" s="1"/>
  <c r="H103" i="5"/>
  <c r="M103" i="5" l="1"/>
  <c r="AD103" i="5" s="1"/>
  <c r="AB103" i="5"/>
  <c r="X103" i="5"/>
  <c r="H104" i="5"/>
  <c r="M104" i="5" l="1"/>
  <c r="AD104" i="5" s="1"/>
  <c r="AB104" i="5"/>
  <c r="X104" i="5"/>
  <c r="H105" i="5"/>
  <c r="AB105" i="5" l="1"/>
  <c r="M105" i="5"/>
  <c r="AD105" i="5" s="1"/>
  <c r="X105" i="5"/>
  <c r="H106" i="5"/>
  <c r="AB106" i="5" l="1"/>
  <c r="X106" i="5"/>
  <c r="M106" i="5"/>
  <c r="AD106" i="5" s="1"/>
  <c r="H107" i="5"/>
  <c r="M107" i="5" l="1"/>
  <c r="AD107" i="5" s="1"/>
  <c r="AB107" i="5"/>
  <c r="X107" i="5"/>
  <c r="H108" i="5"/>
  <c r="X108" i="5" l="1"/>
  <c r="M108" i="5"/>
  <c r="AD108" i="5" s="1"/>
  <c r="AB108" i="5"/>
  <c r="H109" i="5"/>
  <c r="AB109" i="5" l="1"/>
  <c r="X109" i="5"/>
  <c r="M109" i="5"/>
  <c r="AD109" i="5" s="1"/>
  <c r="H110" i="5"/>
  <c r="M110" i="5" l="1"/>
  <c r="AD110" i="5" s="1"/>
  <c r="X110" i="5"/>
  <c r="AB110" i="5"/>
  <c r="H111" i="5"/>
  <c r="X111" i="5" l="1"/>
  <c r="AB111" i="5"/>
  <c r="M111" i="5"/>
  <c r="AD111" i="5" s="1"/>
  <c r="H112" i="5"/>
  <c r="AB112" i="5" l="1"/>
  <c r="X112" i="5"/>
  <c r="M112" i="5"/>
  <c r="AD112" i="5" s="1"/>
  <c r="H113" i="5"/>
  <c r="AB113" i="5" l="1"/>
  <c r="M113" i="5"/>
  <c r="AD113" i="5" s="1"/>
  <c r="X113" i="5"/>
  <c r="H114" i="5"/>
  <c r="X114" i="5" l="1"/>
  <c r="M114" i="5"/>
  <c r="AD114" i="5" s="1"/>
  <c r="AB114" i="5"/>
  <c r="H115" i="5"/>
  <c r="AB115" i="5" l="1"/>
  <c r="M115" i="5"/>
  <c r="AD115" i="5" s="1"/>
  <c r="X115" i="5"/>
  <c r="H116" i="5"/>
  <c r="AB116" i="5" l="1"/>
  <c r="X116" i="5"/>
  <c r="M116" i="5"/>
  <c r="AD116" i="5" s="1"/>
</calcChain>
</file>

<file path=xl/sharedStrings.xml><?xml version="1.0" encoding="utf-8"?>
<sst xmlns="http://schemas.openxmlformats.org/spreadsheetml/2006/main" count="243" uniqueCount="212">
  <si>
    <t>Field data</t>
  </si>
  <si>
    <t>-</t>
  </si>
  <si>
    <t>Country:</t>
  </si>
  <si>
    <t>Owner:</t>
  </si>
  <si>
    <t>Farm:</t>
  </si>
  <si>
    <t>Flock:</t>
  </si>
  <si>
    <t>Remarks:</t>
  </si>
  <si>
    <t>alternative</t>
  </si>
  <si>
    <t>Date</t>
  </si>
  <si>
    <t>a trait you like</t>
  </si>
  <si>
    <t>Remarks</t>
  </si>
  <si>
    <t>KW-Berechnung</t>
  </si>
  <si>
    <t>No. of dead females</t>
  </si>
  <si>
    <t>Egg weight (g)</t>
  </si>
  <si>
    <t>Act. No. of chicks</t>
  </si>
  <si>
    <t>Water / Feed</t>
  </si>
  <si>
    <t>Age</t>
  </si>
  <si>
    <t>Act. hen number</t>
  </si>
  <si>
    <t>Standard</t>
  </si>
  <si>
    <t>per week</t>
  </si>
  <si>
    <t>cumulative</t>
  </si>
  <si>
    <t>Standard cumulative</t>
  </si>
  <si>
    <t>Schatten</t>
  </si>
  <si>
    <t>Prod</t>
  </si>
  <si>
    <t>EN/week H.H.</t>
  </si>
  <si>
    <t>std. EN/week H.H.</t>
  </si>
  <si>
    <t>Anzahl Wochen über 90%</t>
  </si>
  <si>
    <t>Std Anzahl Wochen über 90%</t>
  </si>
  <si>
    <t>Standardeizahl</t>
  </si>
  <si>
    <t>Standardlebensfähigkeit</t>
  </si>
  <si>
    <t>StandardEGcum.</t>
  </si>
  <si>
    <t>Standardeimasse</t>
  </si>
  <si>
    <t>Formel: wenn Eizahl sich nicht mehr ändert, soll Std der betreffenden Woche weitergeschr. werden</t>
  </si>
  <si>
    <t>Feed and water consumption</t>
  </si>
  <si>
    <t>Body weight</t>
  </si>
  <si>
    <t>kg per week</t>
  </si>
  <si>
    <t>cumul. cons.</t>
  </si>
  <si>
    <t>actual (g/10)</t>
  </si>
  <si>
    <t>standard (g/10)</t>
  </si>
  <si>
    <t>bwu</t>
  </si>
  <si>
    <t>bwo</t>
  </si>
  <si>
    <t>Diff</t>
  </si>
  <si>
    <t>akt. FCR</t>
  </si>
  <si>
    <t>akt. FCR cum.</t>
  </si>
  <si>
    <t>% Production (HD)</t>
  </si>
  <si>
    <t>Body weight (g)</t>
  </si>
  <si>
    <t>Uniformity (%)</t>
  </si>
  <si>
    <t>Week of Age</t>
  </si>
  <si>
    <t>Weeks &gt; 90%</t>
  </si>
  <si>
    <t>No. Eggs / HH</t>
  </si>
  <si>
    <t>Liveability</t>
  </si>
  <si>
    <t>Egg weight cum.</t>
  </si>
  <si>
    <t>Egg mass cum.</t>
  </si>
  <si>
    <t>Feed conversion ratio</t>
  </si>
  <si>
    <t>cum. FCR</t>
  </si>
  <si>
    <t>Body weight (g/10) - Feed and Water consumption (g/hen/day)</t>
  </si>
  <si>
    <t>Body Weight</t>
  </si>
  <si>
    <t>Feed consumption</t>
  </si>
  <si>
    <t>Water consumption</t>
  </si>
  <si>
    <t>FCR/week</t>
  </si>
  <si>
    <t>English Version</t>
  </si>
  <si>
    <t>Translation</t>
  </si>
  <si>
    <t>Egg Production</t>
  </si>
  <si>
    <t>Egg Mass</t>
  </si>
  <si>
    <t>Rearing Period</t>
  </si>
  <si>
    <t>Production Period</t>
  </si>
  <si>
    <t>Hatch Date:</t>
  </si>
  <si>
    <t>Date of Housing:</t>
  </si>
  <si>
    <t>No. of Females Housed:</t>
  </si>
  <si>
    <t>Date 18 wks + 0:</t>
  </si>
  <si>
    <t>No. of hens with 18 weeks:</t>
  </si>
  <si>
    <t>Age (days)</t>
  </si>
  <si>
    <t>Wk of Age</t>
  </si>
  <si>
    <t>Wk</t>
  </si>
  <si>
    <t>Feed cons. (kg/day)</t>
  </si>
  <si>
    <t>Feed cons. (kg/wk)</t>
  </si>
  <si>
    <t>Feed cons. (g/bd/d)</t>
  </si>
  <si>
    <t>Water cons. (l/day)</t>
  </si>
  <si>
    <t>Water cons. (l/wk)</t>
  </si>
  <si>
    <t>Water cons. (ml/bd/d)</t>
  </si>
  <si>
    <t>Std. Feed cons. (g)</t>
  </si>
  <si>
    <t>Act. Feed cons. (g/bd/d)</t>
  </si>
  <si>
    <t>Std. Water cons. (ml)</t>
  </si>
  <si>
    <t>Act. Water cons. (ml/bd/d)</t>
  </si>
  <si>
    <t>No. of eggs/ week</t>
  </si>
  <si>
    <t>% prod. /HD</t>
  </si>
  <si>
    <t>Flock Data</t>
  </si>
  <si>
    <t>Rate of Lay</t>
  </si>
  <si>
    <t>Egg Number</t>
  </si>
  <si>
    <t>Standard Liveability</t>
  </si>
  <si>
    <t>per H.D.</t>
  </si>
  <si>
    <t>per H.H.</t>
  </si>
  <si>
    <t>Feed conversion</t>
  </si>
  <si>
    <t>per day (g/bird)</t>
  </si>
  <si>
    <t>Water cons./ day (ml/bird)</t>
  </si>
  <si>
    <t>g / egg</t>
  </si>
  <si>
    <t>Act. Prod.</t>
  </si>
  <si>
    <t>additional trait</t>
  </si>
  <si>
    <t>No. of dead chicks</t>
  </si>
  <si>
    <t xml:space="preserve">Body Wt (g) </t>
  </si>
  <si>
    <t>Std. Body Wt (g)</t>
  </si>
  <si>
    <t xml:space="preserve">Act. Body Wt (g) </t>
  </si>
  <si>
    <t>Mort (%)</t>
  </si>
  <si>
    <t>Act. Body Wt (g)</t>
  </si>
  <si>
    <t>%  mortality / week</t>
  </si>
  <si>
    <t>Mort. (%)</t>
  </si>
  <si>
    <t>No. of eggs</t>
  </si>
  <si>
    <t>No. of 2nd qual. Eggs</t>
  </si>
  <si>
    <t>No. of 2nd qual. eggs/ week</t>
  </si>
  <si>
    <r>
      <t xml:space="preserve">No. of eggs   </t>
    </r>
    <r>
      <rPr>
        <u/>
        <sz val="10"/>
        <rFont val="Arial"/>
        <family val="2"/>
      </rPr>
      <t>or</t>
    </r>
  </si>
  <si>
    <t>Egg Weight</t>
  </si>
  <si>
    <t>% 2nd grade eggs</t>
  </si>
  <si>
    <t>2nd grade per HH</t>
  </si>
  <si>
    <t>cumulative (kg/HH)</t>
  </si>
  <si>
    <t>Mortality</t>
  </si>
  <si>
    <t>Production/HD - Liveability</t>
  </si>
  <si>
    <t>Egg weight - Egg mass (g)</t>
  </si>
  <si>
    <t>% Mortality cum.</t>
  </si>
  <si>
    <t>LOHMANN BROWN Classic Layers</t>
  </si>
  <si>
    <t>Std u</t>
  </si>
  <si>
    <t>Std o</t>
  </si>
  <si>
    <t>Datos de campo</t>
  </si>
  <si>
    <t>Cría-Recría</t>
  </si>
  <si>
    <t>Producción</t>
  </si>
  <si>
    <t>País:</t>
  </si>
  <si>
    <t>Proprietario:</t>
  </si>
  <si>
    <t>Granja:</t>
  </si>
  <si>
    <t>Lote:</t>
  </si>
  <si>
    <t>Fecha de Nacimiento:</t>
  </si>
  <si>
    <t>Fecha de Alojamiento:</t>
  </si>
  <si>
    <t>No. de Aves Alojadas:</t>
  </si>
  <si>
    <t>Observaciones:</t>
  </si>
  <si>
    <t>Fecha 18 Sem. + 0:</t>
  </si>
  <si>
    <t>No. de Aves con 18 Sem.:</t>
  </si>
  <si>
    <t>Alternativa</t>
  </si>
  <si>
    <t>Fecha</t>
  </si>
  <si>
    <t>Edad (días)</t>
  </si>
  <si>
    <t>Sem.   de vida</t>
  </si>
  <si>
    <t>Sem. de vida</t>
  </si>
  <si>
    <t>Sem.</t>
  </si>
  <si>
    <t>No. de Pollitas Muertas</t>
  </si>
  <si>
    <t>No. de Aves Muertas</t>
  </si>
  <si>
    <t>% Mort. / Sem.</t>
  </si>
  <si>
    <t>Peso Corporal (g)</t>
  </si>
  <si>
    <t>Consumo de Pienso (kg/d)</t>
  </si>
  <si>
    <t>Consumo de Pienso (kg/sem.)</t>
  </si>
  <si>
    <t>Consumo de Alimento (g/ave/d)</t>
  </si>
  <si>
    <t>Consumo de Agua (l/d)</t>
  </si>
  <si>
    <t>Consumo de Agua (l/sem.)</t>
  </si>
  <si>
    <t>Consumo de Agua (ml/ave/d)</t>
  </si>
  <si>
    <t>Uniform.  (%)</t>
  </si>
  <si>
    <t>Otro parám.</t>
  </si>
  <si>
    <t>No. de Aves</t>
  </si>
  <si>
    <t>Peso Estándar (g)</t>
  </si>
  <si>
    <t>Peso Real (g)</t>
  </si>
  <si>
    <t>Consumo Estándar (g)</t>
  </si>
  <si>
    <t>Consumo Real (g/ave/d)</t>
  </si>
  <si>
    <t>Cons. Agua Estándar (ml)</t>
  </si>
  <si>
    <t>Cons. Agua Real (ml/ave/d)</t>
  </si>
  <si>
    <t>Agua / Pienso</t>
  </si>
  <si>
    <t>No. Huevos / Sem.</t>
  </si>
  <si>
    <t>No. Huevos</t>
  </si>
  <si>
    <t>No. Huevos de 2a</t>
  </si>
  <si>
    <t>No. Huevos de 2a / Sem.</t>
  </si>
  <si>
    <t>Peso de Huevo (g)</t>
  </si>
  <si>
    <t>No. de Huevos o</t>
  </si>
  <si>
    <t>% Producción (A.D.)</t>
  </si>
  <si>
    <t>% Prod. / A.D.</t>
  </si>
  <si>
    <t>% Huevos de 2a</t>
  </si>
  <si>
    <t>Datos de Granja</t>
  </si>
  <si>
    <t>Prod. / Sem.</t>
  </si>
  <si>
    <t>No. de Huevos</t>
  </si>
  <si>
    <t>Peso de Huevo</t>
  </si>
  <si>
    <t>Masa de Huevo</t>
  </si>
  <si>
    <t>Sem. de Edad</t>
  </si>
  <si>
    <t>Estándar</t>
  </si>
  <si>
    <t>Viabilidad</t>
  </si>
  <si>
    <t>Viabilidad Estándar</t>
  </si>
  <si>
    <t>por A.D.</t>
  </si>
  <si>
    <t>por A.A.</t>
  </si>
  <si>
    <t>Huevos de 2a por A.A.</t>
  </si>
  <si>
    <t>por Sem.</t>
  </si>
  <si>
    <t>Acum.</t>
  </si>
  <si>
    <t>Estándar Acum.</t>
  </si>
  <si>
    <t>Acumulado (kg/A.A.)</t>
  </si>
  <si>
    <t>Consumo de Pienso y Agua</t>
  </si>
  <si>
    <t>Conversión</t>
  </si>
  <si>
    <t>Índice de Conversión</t>
  </si>
  <si>
    <t>Peso Corporal</t>
  </si>
  <si>
    <t>kg por Sem.</t>
  </si>
  <si>
    <t>por Día (g/ave)</t>
  </si>
  <si>
    <t>Pienso Acum.</t>
  </si>
  <si>
    <t>Agua/ día (ml/ave)</t>
  </si>
  <si>
    <t>g / Huevo</t>
  </si>
  <si>
    <t>Real (g/10)</t>
  </si>
  <si>
    <t>Estándar (g/10)</t>
  </si>
  <si>
    <t>% Mortalidad Acum.</t>
  </si>
  <si>
    <t>Producción de Huevos</t>
  </si>
  <si>
    <t>No. Huevos/A.A.</t>
  </si>
  <si>
    <t>Sem. &gt; 90%</t>
  </si>
  <si>
    <t>Peso Huevo Acum.</t>
  </si>
  <si>
    <t>Masa Huevo Acum.</t>
  </si>
  <si>
    <t>Producción/A.D. - Viabilidad</t>
  </si>
  <si>
    <t>Peso de Huevo - Masa de Huevo (g)</t>
  </si>
  <si>
    <t>Peso Corporal (g/10) - Cons. de Pienso y Agua (g/ave/d)</t>
  </si>
  <si>
    <t>Mortalidad</t>
  </si>
  <si>
    <t>I.C./sem.</t>
  </si>
  <si>
    <t>I.C. acum.</t>
  </si>
  <si>
    <t>Consumo de Pienso</t>
  </si>
  <si>
    <t>Consumo de Agua</t>
  </si>
  <si>
    <t>Otro Parám.</t>
  </si>
  <si>
    <t>LOHMANN BROWN Classic Ponedoras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</si>
</sst>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.0"/>
    <numFmt numFmtId="165" formatCode="[=0]\ ;General"/>
    <numFmt numFmtId="166" formatCode="[=0]\ ;0.0"/>
    <numFmt numFmtId="167" formatCode="[=0]\ ;0"/>
    <numFmt numFmtId="168" formatCode="[=0]\ ;[Red][&gt;=90]0.0;0.0"/>
    <numFmt numFmtId="169" formatCode="[=0]\ ;0.00"/>
    <numFmt numFmtId="170" formatCode="[=0]\ ;dd/\ mmm\ yy"/>
    <numFmt numFmtId="171" formatCode="[=0]\ ;dd/mm/yy"/>
    <numFmt numFmtId="172" formatCode="[=0]\ ;0.000"/>
    <numFmt numFmtId="173" formatCode="[&gt;=0]\ ;[&lt;0]\ ;General"/>
    <numFmt numFmtId="174" formatCode="dd/mm/yy;@"/>
  </numFmts>
  <fonts count="1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9"/>
      <name val="Arial"/>
      <family val="2"/>
    </font>
    <font>
      <u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theme="9"/>
      <name val="Arial"/>
      <family val="2"/>
    </font>
    <font>
      <b/>
      <sz val="10"/>
      <color theme="9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22"/>
      </left>
      <right style="thin">
        <color indexed="64"/>
      </right>
      <top style="thin">
        <color indexed="22"/>
      </top>
      <bottom/>
      <diagonal/>
    </border>
    <border>
      <left style="thin">
        <color indexed="22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64"/>
      </right>
      <top/>
      <bottom style="thin">
        <color indexed="23"/>
      </bottom>
      <diagonal/>
    </border>
    <border>
      <left/>
      <right style="thick">
        <color indexed="64"/>
      </right>
      <top/>
      <bottom/>
      <diagonal/>
    </border>
    <border>
      <left style="thin">
        <color indexed="22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22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23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22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23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23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64"/>
      </right>
      <top/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22"/>
      </bottom>
      <diagonal/>
    </border>
    <border>
      <left/>
      <right style="thin">
        <color indexed="64"/>
      </right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0">
    <xf numFmtId="0" fontId="0" fillId="0" borderId="0" xfId="0"/>
    <xf numFmtId="165" fontId="0" fillId="0" borderId="0" xfId="0" applyNumberFormat="1" applyProtection="1"/>
    <xf numFmtId="164" fontId="0" fillId="0" borderId="0" xfId="0" applyNumberFormat="1" applyProtection="1"/>
    <xf numFmtId="0" fontId="3" fillId="0" borderId="0" xfId="0" applyFont="1" applyProtection="1"/>
    <xf numFmtId="164" fontId="0" fillId="0" borderId="0" xfId="0" applyNumberFormat="1" applyFill="1" applyProtection="1"/>
    <xf numFmtId="0" fontId="0" fillId="0" borderId="0" xfId="0" applyProtection="1"/>
    <xf numFmtId="164" fontId="8" fillId="0" borderId="0" xfId="0" applyNumberFormat="1" applyFont="1" applyProtection="1"/>
    <xf numFmtId="164" fontId="8" fillId="0" borderId="0" xfId="0" applyNumberFormat="1" applyFont="1" applyFill="1" applyProtection="1"/>
    <xf numFmtId="0" fontId="1" fillId="0" borderId="0" xfId="0" applyFont="1" applyProtection="1">
      <protection locked="0"/>
    </xf>
    <xf numFmtId="164" fontId="0" fillId="0" borderId="0" xfId="0" applyNumberFormat="1" applyProtection="1">
      <protection locked="0"/>
    </xf>
    <xf numFmtId="0" fontId="0" fillId="0" borderId="0" xfId="0" applyProtection="1">
      <protection locked="0"/>
    </xf>
    <xf numFmtId="164" fontId="0" fillId="0" borderId="0" xfId="0" applyNumberFormat="1" applyFill="1" applyProtection="1">
      <protection locked="0"/>
    </xf>
    <xf numFmtId="165" fontId="0" fillId="0" borderId="0" xfId="0" applyNumberFormat="1" applyProtection="1">
      <protection locked="0"/>
    </xf>
    <xf numFmtId="165" fontId="2" fillId="2" borderId="2" xfId="0" applyNumberFormat="1" applyFont="1" applyFill="1" applyBorder="1" applyProtection="1"/>
    <xf numFmtId="166" fontId="6" fillId="2" borderId="3" xfId="0" applyNumberFormat="1" applyFont="1" applyFill="1" applyBorder="1" applyAlignment="1" applyProtection="1">
      <alignment horizontal="center"/>
      <protection hidden="1"/>
    </xf>
    <xf numFmtId="164" fontId="1" fillId="0" borderId="4" xfId="0" applyNumberFormat="1" applyFont="1" applyBorder="1" applyAlignment="1" applyProtection="1">
      <alignment horizontal="center" wrapText="1"/>
      <protection hidden="1"/>
    </xf>
    <xf numFmtId="169" fontId="6" fillId="2" borderId="3" xfId="0" applyNumberFormat="1" applyFont="1" applyFill="1" applyBorder="1" applyAlignment="1" applyProtection="1">
      <alignment horizontal="center"/>
      <protection hidden="1"/>
    </xf>
    <xf numFmtId="0" fontId="1" fillId="0" borderId="0" xfId="0" applyFont="1" applyProtection="1">
      <protection hidden="1"/>
    </xf>
    <xf numFmtId="164" fontId="0" fillId="0" borderId="0" xfId="0" applyNumberFormat="1" applyProtection="1">
      <protection hidden="1"/>
    </xf>
    <xf numFmtId="164" fontId="0" fillId="0" borderId="0" xfId="0" applyNumberFormat="1" applyFill="1" applyProtection="1">
      <protection hidden="1"/>
    </xf>
    <xf numFmtId="165" fontId="0" fillId="0" borderId="0" xfId="0" applyNumberFormat="1" applyProtection="1">
      <protection hidden="1"/>
    </xf>
    <xf numFmtId="0" fontId="0" fillId="0" borderId="0" xfId="0" applyProtection="1">
      <protection hidden="1"/>
    </xf>
    <xf numFmtId="164" fontId="8" fillId="0" borderId="0" xfId="0" applyNumberFormat="1" applyFont="1" applyProtection="1">
      <protection hidden="1"/>
    </xf>
    <xf numFmtId="165" fontId="1" fillId="2" borderId="5" xfId="0" applyNumberFormat="1" applyFont="1" applyFill="1" applyBorder="1" applyProtection="1">
      <protection hidden="1"/>
    </xf>
    <xf numFmtId="164" fontId="8" fillId="0" borderId="0" xfId="0" applyNumberFormat="1" applyFont="1" applyFill="1" applyProtection="1">
      <protection hidden="1"/>
    </xf>
    <xf numFmtId="164" fontId="9" fillId="0" borderId="0" xfId="0" applyNumberFormat="1" applyFont="1" applyProtection="1">
      <protection hidden="1"/>
    </xf>
    <xf numFmtId="0" fontId="1" fillId="0" borderId="0" xfId="0" applyFont="1" applyAlignment="1" applyProtection="1">
      <alignment wrapText="1"/>
      <protection hidden="1"/>
    </xf>
    <xf numFmtId="164" fontId="4" fillId="0" borderId="0" xfId="0" applyNumberFormat="1" applyFont="1" applyProtection="1">
      <protection hidden="1"/>
    </xf>
    <xf numFmtId="166" fontId="6" fillId="2" borderId="9" xfId="0" applyNumberFormat="1" applyFont="1" applyFill="1" applyBorder="1" applyAlignment="1" applyProtection="1">
      <alignment horizontal="center"/>
      <protection hidden="1"/>
    </xf>
    <xf numFmtId="169" fontId="6" fillId="2" borderId="9" xfId="0" applyNumberFormat="1" applyFon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0" fillId="2" borderId="6" xfId="0" applyFill="1" applyBorder="1" applyProtection="1">
      <protection hidden="1"/>
    </xf>
    <xf numFmtId="0" fontId="0" fillId="2" borderId="2" xfId="0" applyFill="1" applyBorder="1" applyProtection="1">
      <protection hidden="1"/>
    </xf>
    <xf numFmtId="165" fontId="0" fillId="0" borderId="10" xfId="0" applyNumberFormat="1" applyBorder="1" applyProtection="1"/>
    <xf numFmtId="0" fontId="4" fillId="0" borderId="0" xfId="0" applyFont="1" applyAlignment="1" applyProtection="1">
      <alignment wrapText="1"/>
      <protection hidden="1"/>
    </xf>
    <xf numFmtId="166" fontId="6" fillId="2" borderId="11" xfId="0" applyNumberFormat="1" applyFont="1" applyFill="1" applyBorder="1" applyAlignment="1" applyProtection="1">
      <alignment horizontal="center"/>
      <protection hidden="1"/>
    </xf>
    <xf numFmtId="166" fontId="6" fillId="2" borderId="12" xfId="0" applyNumberFormat="1" applyFont="1" applyFill="1" applyBorder="1" applyAlignment="1" applyProtection="1">
      <alignment horizontal="center"/>
      <protection hidden="1"/>
    </xf>
    <xf numFmtId="166" fontId="6" fillId="3" borderId="13" xfId="0" applyNumberFormat="1" applyFont="1" applyFill="1" applyBorder="1" applyAlignment="1" applyProtection="1">
      <alignment horizontal="center"/>
      <protection hidden="1"/>
    </xf>
    <xf numFmtId="0" fontId="4" fillId="0" borderId="0" xfId="0" applyFont="1" applyAlignment="1" applyProtection="1">
      <alignment wrapText="1"/>
    </xf>
    <xf numFmtId="164" fontId="6" fillId="2" borderId="3" xfId="0" applyNumberFormat="1" applyFont="1" applyFill="1" applyBorder="1" applyAlignment="1" applyProtection="1">
      <alignment horizontal="center"/>
      <protection locked="0"/>
    </xf>
    <xf numFmtId="164" fontId="6" fillId="2" borderId="9" xfId="0" applyNumberFormat="1" applyFont="1" applyFill="1" applyBorder="1" applyAlignment="1" applyProtection="1">
      <alignment horizontal="center"/>
      <protection locked="0"/>
    </xf>
    <xf numFmtId="164" fontId="2" fillId="0" borderId="10" xfId="0" applyNumberFormat="1" applyFont="1" applyBorder="1" applyAlignment="1" applyProtection="1">
      <alignment horizontal="center"/>
      <protection locked="0" hidden="1"/>
    </xf>
    <xf numFmtId="164" fontId="2" fillId="0" borderId="10" xfId="0" applyNumberFormat="1" applyFont="1" applyFill="1" applyBorder="1" applyAlignment="1" applyProtection="1">
      <alignment horizontal="center"/>
      <protection locked="0" hidden="1"/>
    </xf>
    <xf numFmtId="164" fontId="0" fillId="0" borderId="10" xfId="0" applyNumberFormat="1" applyFill="1" applyBorder="1" applyAlignment="1" applyProtection="1">
      <alignment horizontal="center"/>
      <protection locked="0" hidden="1"/>
    </xf>
    <xf numFmtId="164" fontId="0" fillId="3" borderId="10" xfId="0" applyNumberFormat="1" applyFill="1" applyBorder="1" applyAlignment="1" applyProtection="1">
      <alignment horizontal="center"/>
      <protection locked="0" hidden="1"/>
    </xf>
    <xf numFmtId="164" fontId="2" fillId="3" borderId="10" xfId="0" applyNumberFormat="1" applyFont="1" applyFill="1" applyBorder="1" applyAlignment="1" applyProtection="1">
      <alignment horizontal="center"/>
      <protection locked="0" hidden="1"/>
    </xf>
    <xf numFmtId="165" fontId="11" fillId="2" borderId="4" xfId="0" applyNumberFormat="1" applyFont="1" applyFill="1" applyBorder="1" applyAlignment="1" applyProtection="1">
      <alignment horizontal="center" wrapText="1"/>
      <protection locked="0"/>
    </xf>
    <xf numFmtId="0" fontId="4" fillId="0" borderId="0" xfId="0" applyFont="1" applyProtection="1"/>
    <xf numFmtId="167" fontId="6" fillId="2" borderId="12" xfId="0" applyNumberFormat="1" applyFont="1" applyFill="1" applyBorder="1" applyAlignment="1" applyProtection="1">
      <alignment horizontal="center"/>
      <protection hidden="1"/>
    </xf>
    <xf numFmtId="167" fontId="6" fillId="3" borderId="13" xfId="0" applyNumberFormat="1" applyFont="1" applyFill="1" applyBorder="1" applyAlignment="1" applyProtection="1">
      <alignment horizontal="center"/>
      <protection hidden="1"/>
    </xf>
    <xf numFmtId="164" fontId="2" fillId="0" borderId="14" xfId="0" applyNumberFormat="1" applyFont="1" applyBorder="1" applyAlignment="1" applyProtection="1">
      <alignment horizontal="center"/>
      <protection locked="0" hidden="1"/>
    </xf>
    <xf numFmtId="164" fontId="0" fillId="0" borderId="14" xfId="0" applyNumberFormat="1" applyFill="1" applyBorder="1" applyAlignment="1" applyProtection="1">
      <alignment horizontal="center"/>
      <protection locked="0" hidden="1"/>
    </xf>
    <xf numFmtId="164" fontId="2" fillId="3" borderId="14" xfId="0" applyNumberFormat="1" applyFont="1" applyFill="1" applyBorder="1" applyAlignment="1" applyProtection="1">
      <alignment horizontal="center"/>
      <protection locked="0" hidden="1"/>
    </xf>
    <xf numFmtId="164" fontId="2" fillId="0" borderId="14" xfId="0" applyNumberFormat="1" applyFont="1" applyFill="1" applyBorder="1" applyAlignment="1" applyProtection="1">
      <alignment horizontal="center"/>
      <protection locked="0" hidden="1"/>
    </xf>
    <xf numFmtId="164" fontId="0" fillId="3" borderId="14" xfId="0" applyNumberFormat="1" applyFill="1" applyBorder="1" applyAlignment="1" applyProtection="1">
      <alignment horizontal="center"/>
      <protection locked="0" hidden="1"/>
    </xf>
    <xf numFmtId="167" fontId="6" fillId="3" borderId="15" xfId="0" applyNumberFormat="1" applyFont="1" applyFill="1" applyBorder="1" applyAlignment="1" applyProtection="1">
      <alignment horizontal="center"/>
      <protection hidden="1"/>
    </xf>
    <xf numFmtId="166" fontId="6" fillId="3" borderId="15" xfId="0" applyNumberFormat="1" applyFont="1" applyFill="1" applyBorder="1" applyAlignment="1" applyProtection="1">
      <alignment horizontal="center"/>
      <protection hidden="1"/>
    </xf>
    <xf numFmtId="164" fontId="0" fillId="3" borderId="16" xfId="0" applyNumberFormat="1" applyFill="1" applyBorder="1" applyAlignment="1" applyProtection="1">
      <alignment horizontal="center"/>
      <protection locked="0" hidden="1"/>
    </xf>
    <xf numFmtId="164" fontId="0" fillId="3" borderId="17" xfId="0" applyNumberFormat="1" applyFill="1" applyBorder="1" applyAlignment="1" applyProtection="1">
      <alignment horizontal="center"/>
      <protection locked="0" hidden="1"/>
    </xf>
    <xf numFmtId="166" fontId="6" fillId="2" borderId="18" xfId="0" applyNumberFormat="1" applyFont="1" applyFill="1" applyBorder="1" applyAlignment="1" applyProtection="1">
      <alignment horizontal="center"/>
      <protection hidden="1"/>
    </xf>
    <xf numFmtId="166" fontId="2" fillId="0" borderId="14" xfId="0" applyNumberFormat="1" applyFont="1" applyBorder="1" applyAlignment="1" applyProtection="1">
      <alignment horizontal="center"/>
      <protection hidden="1"/>
    </xf>
    <xf numFmtId="166" fontId="6" fillId="2" borderId="19" xfId="0" applyNumberFormat="1" applyFont="1" applyFill="1" applyBorder="1" applyAlignment="1" applyProtection="1">
      <alignment horizontal="center"/>
      <protection hidden="1"/>
    </xf>
    <xf numFmtId="166" fontId="6" fillId="3" borderId="20" xfId="0" applyNumberFormat="1" applyFont="1" applyFill="1" applyBorder="1" applyAlignment="1" applyProtection="1">
      <alignment horizontal="center"/>
      <protection hidden="1"/>
    </xf>
    <xf numFmtId="166" fontId="2" fillId="3" borderId="14" xfId="0" applyNumberFormat="1" applyFont="1" applyFill="1" applyBorder="1" applyAlignment="1" applyProtection="1">
      <alignment horizontal="center"/>
      <protection hidden="1"/>
    </xf>
    <xf numFmtId="166" fontId="6" fillId="3" borderId="21" xfId="0" applyNumberFormat="1" applyFont="1" applyFill="1" applyBorder="1" applyAlignment="1" applyProtection="1">
      <alignment horizontal="center"/>
      <protection hidden="1"/>
    </xf>
    <xf numFmtId="166" fontId="2" fillId="3" borderId="16" xfId="0" applyNumberFormat="1" applyFont="1" applyFill="1" applyBorder="1" applyAlignment="1" applyProtection="1">
      <alignment horizontal="center"/>
      <protection hidden="1"/>
    </xf>
    <xf numFmtId="167" fontId="6" fillId="2" borderId="19" xfId="0" applyNumberFormat="1" applyFont="1" applyFill="1" applyBorder="1" applyAlignment="1" applyProtection="1">
      <alignment horizontal="center"/>
      <protection hidden="1"/>
    </xf>
    <xf numFmtId="167" fontId="6" fillId="3" borderId="21" xfId="0" applyNumberFormat="1" applyFont="1" applyFill="1" applyBorder="1" applyAlignment="1" applyProtection="1">
      <alignment horizontal="center"/>
      <protection hidden="1"/>
    </xf>
    <xf numFmtId="167" fontId="2" fillId="3" borderId="10" xfId="0" applyNumberFormat="1" applyFont="1" applyFill="1" applyBorder="1" applyAlignment="1" applyProtection="1">
      <alignment horizontal="center"/>
      <protection hidden="1"/>
    </xf>
    <xf numFmtId="167" fontId="6" fillId="3" borderId="10" xfId="0" applyNumberFormat="1" applyFont="1" applyFill="1" applyBorder="1" applyAlignment="1" applyProtection="1">
      <alignment horizontal="center"/>
      <protection hidden="1"/>
    </xf>
    <xf numFmtId="164" fontId="1" fillId="0" borderId="22" xfId="0" applyNumberFormat="1" applyFont="1" applyFill="1" applyBorder="1" applyAlignment="1" applyProtection="1">
      <alignment horizontal="center" textRotation="90" wrapText="1"/>
      <protection hidden="1"/>
    </xf>
    <xf numFmtId="167" fontId="6" fillId="2" borderId="10" xfId="0" applyNumberFormat="1" applyFont="1" applyFill="1" applyBorder="1" applyAlignment="1" applyProtection="1">
      <alignment horizontal="center"/>
      <protection hidden="1"/>
    </xf>
    <xf numFmtId="167" fontId="6" fillId="3" borderId="17" xfId="0" applyNumberFormat="1" applyFont="1" applyFill="1" applyBorder="1" applyAlignment="1" applyProtection="1">
      <alignment horizontal="center"/>
      <protection hidden="1"/>
    </xf>
    <xf numFmtId="167" fontId="6" fillId="2" borderId="3" xfId="0" applyNumberFormat="1" applyFont="1" applyFill="1" applyBorder="1" applyAlignment="1" applyProtection="1">
      <alignment horizontal="center"/>
      <protection hidden="1"/>
    </xf>
    <xf numFmtId="167" fontId="6" fillId="2" borderId="9" xfId="0" applyNumberFormat="1" applyFont="1" applyFill="1" applyBorder="1" applyAlignment="1" applyProtection="1">
      <alignment horizontal="center"/>
      <protection hidden="1"/>
    </xf>
    <xf numFmtId="170" fontId="10" fillId="2" borderId="5" xfId="0" applyNumberFormat="1" applyFont="1" applyFill="1" applyBorder="1" applyAlignment="1" applyProtection="1">
      <alignment horizontal="centerContinuous"/>
      <protection hidden="1"/>
    </xf>
    <xf numFmtId="0" fontId="0" fillId="2" borderId="6" xfId="0" applyFill="1" applyBorder="1" applyAlignment="1" applyProtection="1">
      <alignment horizontal="centerContinuous"/>
      <protection hidden="1"/>
    </xf>
    <xf numFmtId="0" fontId="0" fillId="2" borderId="2" xfId="0" applyFill="1" applyBorder="1" applyAlignment="1" applyProtection="1">
      <protection hidden="1"/>
    </xf>
    <xf numFmtId="167" fontId="2" fillId="2" borderId="10" xfId="0" applyNumberFormat="1" applyFont="1" applyFill="1" applyBorder="1" applyAlignment="1" applyProtection="1">
      <alignment horizontal="center"/>
      <protection hidden="1"/>
    </xf>
    <xf numFmtId="167" fontId="0" fillId="2" borderId="10" xfId="0" applyNumberFormat="1" applyFill="1" applyBorder="1" applyAlignment="1" applyProtection="1">
      <alignment horizontal="center"/>
      <protection hidden="1"/>
    </xf>
    <xf numFmtId="167" fontId="2" fillId="3" borderId="17" xfId="0" applyNumberFormat="1" applyFont="1" applyFill="1" applyBorder="1" applyAlignment="1" applyProtection="1">
      <alignment horizontal="center"/>
      <protection hidden="1"/>
    </xf>
    <xf numFmtId="166" fontId="2" fillId="2" borderId="10" xfId="0" applyNumberFormat="1" applyFont="1" applyFill="1" applyBorder="1" applyAlignment="1" applyProtection="1">
      <alignment horizontal="center"/>
      <protection hidden="1"/>
    </xf>
    <xf numFmtId="166" fontId="2" fillId="3" borderId="10" xfId="0" applyNumberFormat="1" applyFont="1" applyFill="1" applyBorder="1" applyAlignment="1" applyProtection="1">
      <alignment horizontal="center"/>
      <protection hidden="1"/>
    </xf>
    <xf numFmtId="166" fontId="2" fillId="3" borderId="17" xfId="0" applyNumberFormat="1" applyFont="1" applyFill="1" applyBorder="1" applyAlignment="1" applyProtection="1">
      <alignment horizontal="center"/>
      <protection hidden="1"/>
    </xf>
    <xf numFmtId="0" fontId="5" fillId="0" borderId="0" xfId="0" applyFont="1" applyProtection="1">
      <protection hidden="1"/>
    </xf>
    <xf numFmtId="168" fontId="6" fillId="2" borderId="19" xfId="0" applyNumberFormat="1" applyFont="1" applyFill="1" applyBorder="1" applyAlignment="1" applyProtection="1">
      <alignment horizontal="center"/>
      <protection hidden="1"/>
    </xf>
    <xf numFmtId="168" fontId="6" fillId="3" borderId="20" xfId="0" applyNumberFormat="1" applyFont="1" applyFill="1" applyBorder="1" applyAlignment="1" applyProtection="1">
      <alignment horizontal="center"/>
      <protection hidden="1"/>
    </xf>
    <xf numFmtId="168" fontId="6" fillId="3" borderId="21" xfId="0" applyNumberFormat="1" applyFont="1" applyFill="1" applyBorder="1" applyAlignment="1" applyProtection="1">
      <alignment horizontal="center"/>
      <protection hidden="1"/>
    </xf>
    <xf numFmtId="170" fontId="1" fillId="2" borderId="5" xfId="0" applyNumberFormat="1" applyFont="1" applyFill="1" applyBorder="1" applyProtection="1">
      <protection hidden="1"/>
    </xf>
    <xf numFmtId="1" fontId="6" fillId="0" borderId="10" xfId="0" applyNumberFormat="1" applyFont="1" applyBorder="1" applyAlignment="1" applyProtection="1">
      <alignment horizontal="center"/>
      <protection locked="0"/>
    </xf>
    <xf numFmtId="1" fontId="6" fillId="0" borderId="10" xfId="0" applyNumberFormat="1" applyFont="1" applyFill="1" applyBorder="1" applyAlignment="1" applyProtection="1">
      <alignment horizontal="center"/>
      <protection locked="0"/>
    </xf>
    <xf numFmtId="165" fontId="1" fillId="2" borderId="6" xfId="0" applyNumberFormat="1" applyFont="1" applyFill="1" applyBorder="1" applyProtection="1">
      <protection hidden="1"/>
    </xf>
    <xf numFmtId="165" fontId="2" fillId="2" borderId="6" xfId="0" applyNumberFormat="1" applyFont="1" applyFill="1" applyBorder="1" applyProtection="1"/>
    <xf numFmtId="165" fontId="1" fillId="2" borderId="2" xfId="0" applyNumberFormat="1" applyFont="1" applyFill="1" applyBorder="1" applyProtection="1">
      <protection hidden="1"/>
    </xf>
    <xf numFmtId="167" fontId="2" fillId="2" borderId="19" xfId="0" applyNumberFormat="1" applyFont="1" applyFill="1" applyBorder="1" applyAlignment="1" applyProtection="1">
      <alignment horizontal="center"/>
      <protection hidden="1"/>
    </xf>
    <xf numFmtId="167" fontId="2" fillId="3" borderId="19" xfId="0" applyNumberFormat="1" applyFont="1" applyFill="1" applyBorder="1" applyAlignment="1" applyProtection="1">
      <alignment horizontal="center"/>
      <protection hidden="1"/>
    </xf>
    <xf numFmtId="167" fontId="0" fillId="2" borderId="19" xfId="0" applyNumberFormat="1" applyFill="1" applyBorder="1" applyAlignment="1" applyProtection="1">
      <alignment horizontal="center"/>
      <protection hidden="1"/>
    </xf>
    <xf numFmtId="167" fontId="6" fillId="3" borderId="19" xfId="0" applyNumberFormat="1" applyFont="1" applyFill="1" applyBorder="1" applyAlignment="1" applyProtection="1">
      <alignment horizontal="center"/>
      <protection hidden="1"/>
    </xf>
    <xf numFmtId="165" fontId="10" fillId="2" borderId="5" xfId="0" applyNumberFormat="1" applyFont="1" applyFill="1" applyBorder="1" applyAlignment="1" applyProtection="1">
      <alignment horizontal="right"/>
      <protection hidden="1"/>
    </xf>
    <xf numFmtId="172" fontId="2" fillId="2" borderId="10" xfId="0" applyNumberFormat="1" applyFont="1" applyFill="1" applyBorder="1" applyAlignment="1" applyProtection="1">
      <alignment horizontal="center"/>
      <protection hidden="1"/>
    </xf>
    <xf numFmtId="172" fontId="2" fillId="3" borderId="10" xfId="0" applyNumberFormat="1" applyFont="1" applyFill="1" applyBorder="1" applyAlignment="1" applyProtection="1">
      <alignment horizontal="center"/>
      <protection hidden="1"/>
    </xf>
    <xf numFmtId="172" fontId="2" fillId="3" borderId="17" xfId="0" applyNumberFormat="1" applyFont="1" applyFill="1" applyBorder="1" applyAlignment="1" applyProtection="1">
      <alignment horizontal="center"/>
      <protection hidden="1"/>
    </xf>
    <xf numFmtId="169" fontId="6" fillId="2" borderId="12" xfId="0" applyNumberFormat="1" applyFont="1" applyFill="1" applyBorder="1" applyAlignment="1" applyProtection="1">
      <alignment horizontal="center"/>
      <protection hidden="1"/>
    </xf>
    <xf numFmtId="169" fontId="2" fillId="0" borderId="14" xfId="0" applyNumberFormat="1" applyFont="1" applyBorder="1" applyAlignment="1" applyProtection="1">
      <alignment horizontal="center"/>
      <protection hidden="1"/>
    </xf>
    <xf numFmtId="169" fontId="6" fillId="3" borderId="13" xfId="0" applyNumberFormat="1" applyFont="1" applyFill="1" applyBorder="1" applyAlignment="1" applyProtection="1">
      <alignment horizontal="center"/>
      <protection hidden="1"/>
    </xf>
    <xf numFmtId="169" fontId="2" fillId="3" borderId="14" xfId="0" applyNumberFormat="1" applyFont="1" applyFill="1" applyBorder="1" applyAlignment="1" applyProtection="1">
      <alignment horizontal="center"/>
      <protection hidden="1"/>
    </xf>
    <xf numFmtId="169" fontId="6" fillId="3" borderId="15" xfId="0" applyNumberFormat="1" applyFont="1" applyFill="1" applyBorder="1" applyAlignment="1" applyProtection="1">
      <alignment horizontal="center"/>
      <protection hidden="1"/>
    </xf>
    <xf numFmtId="169" fontId="2" fillId="3" borderId="16" xfId="0" applyNumberFormat="1" applyFont="1" applyFill="1" applyBorder="1" applyAlignment="1" applyProtection="1">
      <alignment horizontal="center"/>
      <protection hidden="1"/>
    </xf>
    <xf numFmtId="166" fontId="2" fillId="0" borderId="10" xfId="0" applyNumberFormat="1" applyFont="1" applyBorder="1" applyAlignment="1" applyProtection="1">
      <alignment horizontal="center"/>
      <protection hidden="1"/>
    </xf>
    <xf numFmtId="166" fontId="0" fillId="0" borderId="10" xfId="0" applyNumberFormat="1" applyFill="1" applyBorder="1" applyAlignment="1" applyProtection="1">
      <alignment horizontal="center"/>
      <protection hidden="1"/>
    </xf>
    <xf numFmtId="166" fontId="2" fillId="0" borderId="10" xfId="0" applyNumberFormat="1" applyFont="1" applyFill="1" applyBorder="1" applyAlignment="1" applyProtection="1">
      <alignment horizontal="center"/>
      <protection hidden="1"/>
    </xf>
    <xf numFmtId="166" fontId="6" fillId="0" borderId="10" xfId="0" applyNumberFormat="1" applyFont="1" applyFill="1" applyBorder="1" applyAlignment="1" applyProtection="1">
      <alignment horizontal="center"/>
      <protection hidden="1"/>
    </xf>
    <xf numFmtId="166" fontId="6" fillId="3" borderId="10" xfId="0" applyNumberFormat="1" applyFont="1" applyFill="1" applyBorder="1" applyAlignment="1" applyProtection="1">
      <alignment horizontal="center"/>
      <protection hidden="1"/>
    </xf>
    <xf numFmtId="166" fontId="0" fillId="3" borderId="10" xfId="0" applyNumberFormat="1" applyFill="1" applyBorder="1" applyAlignment="1" applyProtection="1">
      <alignment horizontal="center"/>
      <protection hidden="1"/>
    </xf>
    <xf numFmtId="166" fontId="0" fillId="3" borderId="17" xfId="0" applyNumberFormat="1" applyFill="1" applyBorder="1" applyAlignment="1" applyProtection="1">
      <alignment horizontal="center"/>
      <protection hidden="1"/>
    </xf>
    <xf numFmtId="173" fontId="5" fillId="0" borderId="0" xfId="0" applyNumberFormat="1" applyFont="1" applyProtection="1">
      <protection hidden="1"/>
    </xf>
    <xf numFmtId="1" fontId="2" fillId="0" borderId="10" xfId="0" applyNumberFormat="1" applyFont="1" applyBorder="1" applyAlignment="1" applyProtection="1">
      <alignment horizontal="center"/>
      <protection locked="0" hidden="1"/>
    </xf>
    <xf numFmtId="164" fontId="0" fillId="0" borderId="0" xfId="0" applyNumberFormat="1" applyFill="1" applyBorder="1" applyProtection="1">
      <protection hidden="1"/>
    </xf>
    <xf numFmtId="164" fontId="0" fillId="0" borderId="0" xfId="0" applyNumberFormat="1" applyBorder="1" applyProtection="1">
      <protection hidden="1"/>
    </xf>
    <xf numFmtId="1" fontId="2" fillId="0" borderId="0" xfId="0" applyNumberFormat="1" applyFont="1" applyBorder="1" applyAlignment="1" applyProtection="1">
      <alignment horizontal="center"/>
      <protection locked="0" hidden="1"/>
    </xf>
    <xf numFmtId="164" fontId="2" fillId="0" borderId="0" xfId="0" applyNumberFormat="1" applyFont="1" applyBorder="1" applyAlignment="1" applyProtection="1">
      <alignment horizontal="center"/>
      <protection locked="0" hidden="1"/>
    </xf>
    <xf numFmtId="164" fontId="5" fillId="0" borderId="24" xfId="0" applyNumberFormat="1" applyFont="1" applyBorder="1" applyAlignment="1" applyProtection="1">
      <alignment horizontal="center"/>
      <protection hidden="1"/>
    </xf>
    <xf numFmtId="164" fontId="5" fillId="0" borderId="0" xfId="0" applyNumberFormat="1" applyFont="1" applyBorder="1" applyAlignment="1" applyProtection="1">
      <alignment horizontal="center"/>
      <protection hidden="1"/>
    </xf>
    <xf numFmtId="1" fontId="2" fillId="0" borderId="10" xfId="0" applyNumberFormat="1" applyFont="1" applyFill="1" applyBorder="1" applyAlignment="1" applyProtection="1">
      <alignment horizontal="center"/>
      <protection locked="0"/>
    </xf>
    <xf numFmtId="1" fontId="2" fillId="3" borderId="10" xfId="0" applyNumberFormat="1" applyFont="1" applyFill="1" applyBorder="1" applyAlignment="1" applyProtection="1">
      <alignment horizontal="center"/>
      <protection locked="0"/>
    </xf>
    <xf numFmtId="1" fontId="0" fillId="0" borderId="10" xfId="0" applyNumberFormat="1" applyBorder="1" applyAlignment="1" applyProtection="1">
      <alignment horizontal="center"/>
      <protection locked="0"/>
    </xf>
    <xf numFmtId="165" fontId="0" fillId="0" borderId="0" xfId="0" applyNumberFormat="1" applyBorder="1" applyProtection="1">
      <protection locked="0"/>
    </xf>
    <xf numFmtId="165" fontId="0" fillId="0" borderId="0" xfId="0" applyNumberFormat="1" applyBorder="1" applyProtection="1"/>
    <xf numFmtId="173" fontId="6" fillId="0" borderId="0" xfId="0" applyNumberFormat="1" applyFont="1" applyProtection="1">
      <protection hidden="1"/>
    </xf>
    <xf numFmtId="0" fontId="6" fillId="0" borderId="0" xfId="0" applyFont="1" applyProtection="1">
      <protection hidden="1"/>
    </xf>
    <xf numFmtId="173" fontId="7" fillId="0" borderId="0" xfId="0" applyNumberFormat="1" applyFont="1" applyAlignment="1" applyProtection="1">
      <alignment wrapText="1"/>
      <protection hidden="1"/>
    </xf>
    <xf numFmtId="0" fontId="7" fillId="0" borderId="0" xfId="0" applyFont="1" applyAlignment="1" applyProtection="1">
      <alignment wrapText="1"/>
      <protection hidden="1"/>
    </xf>
    <xf numFmtId="173" fontId="7" fillId="0" borderId="0" xfId="0" applyNumberFormat="1" applyFont="1" applyProtection="1">
      <protection hidden="1"/>
    </xf>
    <xf numFmtId="0" fontId="7" fillId="0" borderId="0" xfId="0" applyFont="1" applyProtection="1">
      <protection hidden="1"/>
    </xf>
    <xf numFmtId="164" fontId="0" fillId="0" borderId="0" xfId="0" applyNumberFormat="1" applyFill="1" applyBorder="1" applyAlignment="1" applyProtection="1">
      <alignment horizontal="center"/>
      <protection locked="0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0" fillId="0" borderId="0" xfId="0" applyNumberFormat="1" applyFill="1" applyBorder="1" applyAlignment="1" applyProtection="1">
      <alignment horizontal="center"/>
      <protection hidden="1"/>
    </xf>
    <xf numFmtId="164" fontId="1" fillId="0" borderId="0" xfId="0" applyNumberFormat="1" applyFont="1" applyFill="1" applyBorder="1" applyAlignment="1" applyProtection="1">
      <alignment horizontal="center"/>
      <protection hidden="1"/>
    </xf>
    <xf numFmtId="164" fontId="7" fillId="0" borderId="0" xfId="0" applyNumberFormat="1" applyFont="1" applyFill="1" applyBorder="1" applyAlignment="1" applyProtection="1">
      <alignment horizontal="center"/>
      <protection hidden="1"/>
    </xf>
    <xf numFmtId="164" fontId="7" fillId="3" borderId="0" xfId="0" applyNumberFormat="1" applyFont="1" applyFill="1" applyBorder="1" applyAlignment="1" applyProtection="1">
      <alignment horizontal="center"/>
      <protection hidden="1"/>
    </xf>
    <xf numFmtId="164" fontId="6" fillId="3" borderId="0" xfId="0" applyNumberFormat="1" applyFont="1" applyFill="1" applyBorder="1" applyAlignment="1" applyProtection="1">
      <alignment horizontal="center"/>
      <protection hidden="1"/>
    </xf>
    <xf numFmtId="164" fontId="0" fillId="3" borderId="0" xfId="0" applyNumberFormat="1" applyFill="1" applyBorder="1" applyAlignment="1" applyProtection="1">
      <alignment horizontal="center"/>
      <protection hidden="1"/>
    </xf>
    <xf numFmtId="164" fontId="0" fillId="3" borderId="26" xfId="0" applyNumberFormat="1" applyFill="1" applyBorder="1" applyAlignment="1" applyProtection="1">
      <alignment horizontal="center"/>
      <protection hidden="1"/>
    </xf>
    <xf numFmtId="164" fontId="2" fillId="0" borderId="0" xfId="0" applyNumberFormat="1" applyFont="1" applyFill="1" applyBorder="1" applyAlignment="1" applyProtection="1">
      <alignment horizontal="center"/>
      <protection hidden="1"/>
    </xf>
    <xf numFmtId="164" fontId="6" fillId="0" borderId="0" xfId="0" applyNumberFormat="1" applyFont="1" applyFill="1" applyBorder="1" applyAlignment="1" applyProtection="1">
      <alignment horizontal="center"/>
      <protection hidden="1"/>
    </xf>
    <xf numFmtId="166" fontId="2" fillId="0" borderId="0" xfId="0" applyNumberFormat="1" applyFont="1" applyBorder="1" applyAlignment="1" applyProtection="1">
      <alignment horizontal="center"/>
      <protection hidden="1"/>
    </xf>
    <xf numFmtId="166" fontId="2" fillId="3" borderId="0" xfId="0" applyNumberFormat="1" applyFont="1" applyFill="1" applyBorder="1" applyAlignment="1" applyProtection="1">
      <alignment horizontal="center"/>
      <protection hidden="1"/>
    </xf>
    <xf numFmtId="166" fontId="2" fillId="3" borderId="26" xfId="0" applyNumberFormat="1" applyFont="1" applyFill="1" applyBorder="1" applyAlignment="1" applyProtection="1">
      <alignment horizontal="center"/>
      <protection hidden="1"/>
    </xf>
    <xf numFmtId="173" fontId="4" fillId="0" borderId="0" xfId="0" applyNumberFormat="1" applyFont="1" applyAlignment="1" applyProtection="1">
      <alignment wrapText="1"/>
      <protection hidden="1"/>
    </xf>
    <xf numFmtId="173" fontId="4" fillId="0" borderId="0" xfId="0" applyNumberFormat="1" applyFont="1" applyProtection="1">
      <protection hidden="1"/>
    </xf>
    <xf numFmtId="166" fontId="0" fillId="2" borderId="10" xfId="0" applyNumberFormat="1" applyFill="1" applyBorder="1" applyAlignment="1" applyProtection="1">
      <alignment horizontal="center"/>
      <protection hidden="1"/>
    </xf>
    <xf numFmtId="166" fontId="6" fillId="2" borderId="10" xfId="0" applyNumberFormat="1" applyFont="1" applyFill="1" applyBorder="1" applyAlignment="1" applyProtection="1">
      <alignment horizontal="center"/>
      <protection hidden="1"/>
    </xf>
    <xf numFmtId="166" fontId="6" fillId="3" borderId="17" xfId="0" applyNumberFormat="1" applyFont="1" applyFill="1" applyBorder="1" applyAlignment="1" applyProtection="1">
      <alignment horizontal="center"/>
      <protection hidden="1"/>
    </xf>
    <xf numFmtId="169" fontId="2" fillId="2" borderId="19" xfId="0" applyNumberFormat="1" applyFont="1" applyFill="1" applyBorder="1" applyAlignment="1" applyProtection="1">
      <alignment horizontal="center"/>
      <protection hidden="1"/>
    </xf>
    <xf numFmtId="169" fontId="2" fillId="2" borderId="14" xfId="0" applyNumberFormat="1" applyFont="1" applyFill="1" applyBorder="1" applyAlignment="1" applyProtection="1">
      <alignment horizontal="center"/>
      <protection hidden="1"/>
    </xf>
    <xf numFmtId="169" fontId="2" fillId="3" borderId="19" xfId="0" applyNumberFormat="1" applyFont="1" applyFill="1" applyBorder="1" applyAlignment="1" applyProtection="1">
      <alignment horizontal="center"/>
      <protection hidden="1"/>
    </xf>
    <xf numFmtId="169" fontId="2" fillId="3" borderId="21" xfId="0" applyNumberFormat="1" applyFont="1" applyFill="1" applyBorder="1" applyAlignment="1" applyProtection="1">
      <alignment horizontal="center"/>
      <protection hidden="1"/>
    </xf>
    <xf numFmtId="0" fontId="4" fillId="0" borderId="0" xfId="0" applyFont="1" applyProtection="1">
      <protection hidden="1"/>
    </xf>
    <xf numFmtId="164" fontId="0" fillId="3" borderId="0" xfId="0" applyNumberFormat="1" applyFill="1" applyBorder="1" applyAlignment="1" applyProtection="1">
      <alignment horizontal="center"/>
      <protection locked="0"/>
    </xf>
    <xf numFmtId="164" fontId="0" fillId="3" borderId="26" xfId="0" applyNumberFormat="1" applyFill="1" applyBorder="1" applyAlignment="1" applyProtection="1">
      <alignment horizontal="center"/>
      <protection locked="0"/>
    </xf>
    <xf numFmtId="0" fontId="6" fillId="0" borderId="0" xfId="0" applyFont="1" applyProtection="1"/>
    <xf numFmtId="164" fontId="6" fillId="0" borderId="0" xfId="0" applyNumberFormat="1" applyFont="1" applyProtection="1"/>
    <xf numFmtId="165" fontId="6" fillId="0" borderId="0" xfId="0" applyNumberFormat="1" applyFont="1" applyProtection="1"/>
    <xf numFmtId="164" fontId="6" fillId="0" borderId="0" xfId="0" applyNumberFormat="1" applyFont="1" applyFill="1" applyProtection="1"/>
    <xf numFmtId="164" fontId="6" fillId="0" borderId="0" xfId="0" applyNumberFormat="1" applyFont="1" applyAlignment="1" applyProtection="1">
      <alignment horizontal="centerContinuous"/>
    </xf>
    <xf numFmtId="166" fontId="7" fillId="2" borderId="27" xfId="0" applyNumberFormat="1" applyFont="1" applyFill="1" applyBorder="1" applyAlignment="1" applyProtection="1">
      <alignment horizontal="center" wrapText="1"/>
      <protection locked="0"/>
    </xf>
    <xf numFmtId="0" fontId="7" fillId="0" borderId="0" xfId="0" applyFont="1" applyAlignment="1" applyProtection="1">
      <alignment wrapText="1"/>
    </xf>
    <xf numFmtId="0" fontId="7" fillId="0" borderId="0" xfId="0" applyFont="1" applyProtection="1"/>
    <xf numFmtId="166" fontId="6" fillId="2" borderId="28" xfId="0" applyNumberFormat="1" applyFont="1" applyFill="1" applyBorder="1" applyAlignment="1" applyProtection="1">
      <alignment horizontal="center"/>
      <protection hidden="1"/>
    </xf>
    <xf numFmtId="166" fontId="6" fillId="2" borderId="29" xfId="0" applyNumberFormat="1" applyFont="1" applyFill="1" applyBorder="1" applyAlignment="1" applyProtection="1">
      <alignment horizontal="center"/>
      <protection hidden="1"/>
    </xf>
    <xf numFmtId="166" fontId="6" fillId="3" borderId="30" xfId="0" applyNumberFormat="1" applyFont="1" applyFill="1" applyBorder="1" applyAlignment="1" applyProtection="1">
      <alignment horizontal="center"/>
      <protection hidden="1"/>
    </xf>
    <xf numFmtId="166" fontId="6" fillId="3" borderId="31" xfId="0" applyNumberFormat="1" applyFont="1" applyFill="1" applyBorder="1" applyAlignment="1" applyProtection="1">
      <alignment horizontal="center"/>
      <protection hidden="1"/>
    </xf>
    <xf numFmtId="165" fontId="6" fillId="2" borderId="3" xfId="0" applyNumberFormat="1" applyFont="1" applyFill="1" applyBorder="1" applyAlignment="1" applyProtection="1">
      <alignment horizontal="center"/>
      <protection hidden="1"/>
    </xf>
    <xf numFmtId="165" fontId="6" fillId="2" borderId="9" xfId="0" applyNumberFormat="1" applyFont="1" applyFill="1" applyBorder="1" applyAlignment="1" applyProtection="1">
      <alignment horizontal="center"/>
      <protection hidden="1"/>
    </xf>
    <xf numFmtId="0" fontId="6" fillId="2" borderId="32" xfId="0" applyNumberFormat="1" applyFont="1" applyFill="1" applyBorder="1" applyAlignment="1" applyProtection="1">
      <alignment horizontal="center"/>
      <protection locked="0"/>
    </xf>
    <xf numFmtId="0" fontId="6" fillId="2" borderId="33" xfId="0" applyNumberFormat="1" applyFont="1" applyFill="1" applyBorder="1" applyAlignment="1" applyProtection="1">
      <alignment horizontal="center"/>
      <protection locked="0"/>
    </xf>
    <xf numFmtId="165" fontId="2" fillId="2" borderId="14" xfId="0" applyNumberFormat="1" applyFont="1" applyFill="1" applyBorder="1" applyAlignment="1" applyProtection="1">
      <alignment horizontal="center"/>
      <protection hidden="1"/>
    </xf>
    <xf numFmtId="165" fontId="2" fillId="3" borderId="14" xfId="0" applyNumberFormat="1" applyFont="1" applyFill="1" applyBorder="1" applyAlignment="1" applyProtection="1">
      <alignment horizontal="center"/>
      <protection hidden="1"/>
    </xf>
    <xf numFmtId="165" fontId="2" fillId="3" borderId="16" xfId="0" applyNumberFormat="1" applyFont="1" applyFill="1" applyBorder="1" applyAlignment="1" applyProtection="1">
      <alignment horizontal="center"/>
      <protection hidden="1"/>
    </xf>
    <xf numFmtId="0" fontId="6" fillId="2" borderId="3" xfId="0" applyNumberFormat="1" applyFont="1" applyFill="1" applyBorder="1" applyAlignment="1" applyProtection="1">
      <alignment horizontal="center"/>
      <protection locked="0"/>
    </xf>
    <xf numFmtId="0" fontId="6" fillId="2" borderId="9" xfId="0" applyNumberFormat="1" applyFont="1" applyFill="1" applyBorder="1" applyAlignment="1" applyProtection="1">
      <alignment horizontal="center"/>
      <protection locked="0"/>
    </xf>
    <xf numFmtId="166" fontId="6" fillId="2" borderId="14" xfId="0" applyNumberFormat="1" applyFont="1" applyFill="1" applyBorder="1" applyAlignment="1" applyProtection="1">
      <alignment horizontal="center"/>
      <protection hidden="1"/>
    </xf>
    <xf numFmtId="166" fontId="6" fillId="3" borderId="34" xfId="0" applyNumberFormat="1" applyFont="1" applyFill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locked="0" hidden="1"/>
    </xf>
    <xf numFmtId="164" fontId="0" fillId="0" borderId="7" xfId="0" applyNumberFormat="1" applyFill="1" applyBorder="1" applyAlignment="1" applyProtection="1">
      <alignment horizontal="center"/>
      <protection locked="0" hidden="1"/>
    </xf>
    <xf numFmtId="164" fontId="1" fillId="3" borderId="7" xfId="0" applyNumberFormat="1" applyFont="1" applyFill="1" applyBorder="1" applyAlignment="1" applyProtection="1">
      <alignment horizontal="center"/>
      <protection locked="0" hidden="1"/>
    </xf>
    <xf numFmtId="164" fontId="1" fillId="0" borderId="7" xfId="0" applyNumberFormat="1" applyFont="1" applyFill="1" applyBorder="1" applyAlignment="1" applyProtection="1">
      <alignment horizontal="center"/>
      <protection locked="0" hidden="1"/>
    </xf>
    <xf numFmtId="164" fontId="0" fillId="3" borderId="7" xfId="0" applyNumberFormat="1" applyFill="1" applyBorder="1" applyAlignment="1" applyProtection="1">
      <alignment horizontal="center"/>
      <protection locked="0" hidden="1"/>
    </xf>
    <xf numFmtId="1" fontId="2" fillId="0" borderId="36" xfId="0" applyNumberFormat="1" applyFont="1" applyFill="1" applyBorder="1" applyAlignment="1" applyProtection="1">
      <alignment horizontal="center"/>
      <protection locked="0"/>
    </xf>
    <xf numFmtId="1" fontId="2" fillId="0" borderId="7" xfId="0" applyNumberFormat="1" applyFont="1" applyFill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7" fillId="0" borderId="0" xfId="0" applyFont="1" applyProtection="1">
      <protection locked="0"/>
    </xf>
    <xf numFmtId="15" fontId="1" fillId="2" borderId="5" xfId="0" applyNumberFormat="1" applyFont="1" applyFill="1" applyBorder="1" applyProtection="1">
      <protection locked="0"/>
    </xf>
    <xf numFmtId="15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0" fontId="0" fillId="0" borderId="10" xfId="0" applyBorder="1" applyProtection="1"/>
    <xf numFmtId="0" fontId="0" fillId="0" borderId="10" xfId="0" applyBorder="1" applyProtection="1">
      <protection locked="0"/>
    </xf>
    <xf numFmtId="0" fontId="2" fillId="0" borderId="10" xfId="0" applyFont="1" applyBorder="1" applyProtection="1"/>
    <xf numFmtId="164" fontId="2" fillId="0" borderId="10" xfId="0" applyNumberFormat="1" applyFont="1" applyBorder="1" applyAlignment="1" applyProtection="1">
      <alignment horizontal="left" wrapText="1"/>
    </xf>
    <xf numFmtId="0" fontId="2" fillId="0" borderId="10" xfId="0" applyFont="1" applyBorder="1" applyAlignment="1" applyProtection="1">
      <alignment wrapText="1"/>
    </xf>
    <xf numFmtId="0" fontId="7" fillId="4" borderId="39" xfId="0" applyFont="1" applyFill="1" applyBorder="1" applyAlignment="1" applyProtection="1">
      <alignment wrapText="1"/>
    </xf>
    <xf numFmtId="0" fontId="6" fillId="4" borderId="48" xfId="0" applyNumberFormat="1" applyFont="1" applyFill="1" applyBorder="1" applyAlignment="1" applyProtection="1">
      <alignment horizontal="center"/>
      <protection hidden="1"/>
    </xf>
    <xf numFmtId="166" fontId="7" fillId="2" borderId="49" xfId="0" applyNumberFormat="1" applyFont="1" applyFill="1" applyBorder="1" applyAlignment="1" applyProtection="1">
      <alignment horizontal="center" wrapText="1"/>
      <protection locked="0"/>
    </xf>
    <xf numFmtId="166" fontId="7" fillId="2" borderId="36" xfId="0" applyNumberFormat="1" applyFont="1" applyFill="1" applyBorder="1" applyAlignment="1" applyProtection="1">
      <alignment horizontal="center" wrapText="1"/>
      <protection locked="0"/>
    </xf>
    <xf numFmtId="166" fontId="7" fillId="2" borderId="7" xfId="0" applyNumberFormat="1" applyFont="1" applyFill="1" applyBorder="1" applyAlignment="1" applyProtection="1">
      <alignment horizontal="center" wrapText="1"/>
      <protection locked="0"/>
    </xf>
    <xf numFmtId="166" fontId="7" fillId="2" borderId="8" xfId="0" applyNumberFormat="1" applyFont="1" applyFill="1" applyBorder="1" applyAlignment="1" applyProtection="1">
      <alignment horizontal="center" wrapText="1"/>
      <protection locked="0"/>
    </xf>
    <xf numFmtId="0" fontId="7" fillId="0" borderId="37" xfId="0" applyFont="1" applyFill="1" applyBorder="1" applyAlignment="1" applyProtection="1">
      <alignment horizontal="center" wrapText="1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65" fontId="2" fillId="0" borderId="48" xfId="0" applyNumberFormat="1" applyFont="1" applyFill="1" applyBorder="1" applyAlignment="1" applyProtection="1">
      <alignment horizontal="center"/>
      <protection hidden="1"/>
    </xf>
    <xf numFmtId="166" fontId="2" fillId="2" borderId="3" xfId="0" applyNumberFormat="1" applyFont="1" applyFill="1" applyBorder="1" applyAlignment="1" applyProtection="1">
      <alignment horizontal="center"/>
      <protection locked="0"/>
    </xf>
    <xf numFmtId="166" fontId="2" fillId="2" borderId="11" xfId="0" applyNumberFormat="1" applyFont="1" applyFill="1" applyBorder="1" applyAlignment="1" applyProtection="1">
      <alignment horizontal="center"/>
      <protection locked="0"/>
    </xf>
    <xf numFmtId="0" fontId="7" fillId="0" borderId="37" xfId="0" applyFont="1" applyBorder="1" applyAlignment="1" applyProtection="1">
      <alignment horizontal="center" wrapText="1"/>
    </xf>
    <xf numFmtId="164" fontId="7" fillId="0" borderId="50" xfId="0" applyNumberFormat="1" applyFont="1" applyBorder="1" applyAlignment="1" applyProtection="1">
      <alignment horizontal="center" wrapText="1"/>
    </xf>
    <xf numFmtId="0" fontId="7" fillId="0" borderId="7" xfId="0" applyFont="1" applyBorder="1" applyAlignment="1" applyProtection="1">
      <alignment horizontal="center" wrapText="1"/>
    </xf>
    <xf numFmtId="171" fontId="7" fillId="0" borderId="7" xfId="0" applyNumberFormat="1" applyFont="1" applyBorder="1" applyAlignment="1" applyProtection="1">
      <alignment horizontal="center" wrapText="1"/>
      <protection hidden="1"/>
    </xf>
    <xf numFmtId="171" fontId="7" fillId="0" borderId="8" xfId="0" applyNumberFormat="1" applyFont="1" applyBorder="1" applyAlignment="1" applyProtection="1">
      <alignment horizontal="center" wrapText="1"/>
      <protection hidden="1"/>
    </xf>
    <xf numFmtId="0" fontId="4" fillId="0" borderId="51" xfId="0" applyFont="1" applyBorder="1" applyProtection="1"/>
    <xf numFmtId="0" fontId="6" fillId="0" borderId="51" xfId="0" applyFont="1" applyBorder="1" applyProtection="1"/>
    <xf numFmtId="172" fontId="6" fillId="2" borderId="3" xfId="0" applyNumberFormat="1" applyFont="1" applyFill="1" applyBorder="1" applyAlignment="1" applyProtection="1">
      <alignment horizontal="center"/>
      <protection locked="0"/>
    </xf>
    <xf numFmtId="172" fontId="6" fillId="2" borderId="9" xfId="0" applyNumberFormat="1" applyFont="1" applyFill="1" applyBorder="1" applyAlignment="1" applyProtection="1">
      <alignment horizontal="center"/>
      <protection locked="0"/>
    </xf>
    <xf numFmtId="167" fontId="6" fillId="2" borderId="3" xfId="0" applyNumberFormat="1" applyFont="1" applyFill="1" applyBorder="1" applyAlignment="1" applyProtection="1">
      <alignment horizontal="center"/>
      <protection locked="0"/>
    </xf>
    <xf numFmtId="167" fontId="6" fillId="2" borderId="9" xfId="0" applyNumberFormat="1" applyFont="1" applyFill="1" applyBorder="1" applyAlignment="1" applyProtection="1">
      <alignment horizontal="center"/>
      <protection locked="0"/>
    </xf>
    <xf numFmtId="1" fontId="2" fillId="0" borderId="37" xfId="0" applyNumberFormat="1" applyFont="1" applyFill="1" applyBorder="1" applyAlignment="1" applyProtection="1">
      <alignment horizontal="center"/>
      <protection hidden="1"/>
    </xf>
    <xf numFmtId="1" fontId="2" fillId="2" borderId="47" xfId="0" applyNumberFormat="1" applyFont="1" applyFill="1" applyBorder="1" applyAlignment="1" applyProtection="1">
      <alignment horizontal="center"/>
      <protection locked="0"/>
    </xf>
    <xf numFmtId="0" fontId="7" fillId="0" borderId="7" xfId="0" applyFont="1" applyBorder="1" applyAlignment="1" applyProtection="1">
      <alignment horizontal="center"/>
    </xf>
    <xf numFmtId="0" fontId="1" fillId="0" borderId="37" xfId="0" applyFont="1" applyBorder="1" applyAlignment="1" applyProtection="1">
      <alignment horizontal="center" wrapText="1"/>
    </xf>
    <xf numFmtId="165" fontId="11" fillId="0" borderId="4" xfId="0" applyNumberFormat="1" applyFont="1" applyBorder="1" applyAlignment="1" applyProtection="1">
      <alignment horizontal="center" wrapText="1"/>
    </xf>
    <xf numFmtId="171" fontId="7" fillId="0" borderId="7" xfId="0" applyNumberFormat="1" applyFont="1" applyBorder="1" applyAlignment="1" applyProtection="1">
      <alignment horizontal="center"/>
      <protection hidden="1"/>
    </xf>
    <xf numFmtId="171" fontId="7" fillId="0" borderId="8" xfId="0" applyNumberFormat="1" applyFont="1" applyBorder="1" applyAlignment="1" applyProtection="1">
      <alignment horizontal="center"/>
      <protection hidden="1"/>
    </xf>
    <xf numFmtId="165" fontId="2" fillId="2" borderId="3" xfId="0" applyNumberFormat="1" applyFont="1" applyFill="1" applyBorder="1" applyAlignment="1" applyProtection="1">
      <alignment horizontal="center"/>
      <protection locked="0"/>
    </xf>
    <xf numFmtId="165" fontId="2" fillId="2" borderId="52" xfId="0" applyNumberFormat="1" applyFont="1" applyFill="1" applyBorder="1" applyAlignment="1" applyProtection="1">
      <alignment horizontal="center"/>
      <protection locked="0"/>
    </xf>
    <xf numFmtId="167" fontId="2" fillId="2" borderId="3" xfId="0" applyNumberFormat="1" applyFont="1" applyFill="1" applyBorder="1" applyAlignment="1" applyProtection="1">
      <alignment horizontal="center"/>
      <protection hidden="1"/>
    </xf>
    <xf numFmtId="169" fontId="2" fillId="2" borderId="3" xfId="0" applyNumberFormat="1" applyFont="1" applyFill="1" applyBorder="1" applyAlignment="1" applyProtection="1">
      <alignment horizontal="center"/>
      <protection hidden="1"/>
    </xf>
    <xf numFmtId="166" fontId="2" fillId="2" borderId="3" xfId="0" applyNumberFormat="1" applyFont="1" applyFill="1" applyBorder="1" applyAlignment="1" applyProtection="1">
      <alignment horizontal="center"/>
      <protection hidden="1"/>
    </xf>
    <xf numFmtId="167" fontId="2" fillId="2" borderId="9" xfId="0" applyNumberFormat="1" applyFont="1" applyFill="1" applyBorder="1" applyAlignment="1" applyProtection="1">
      <alignment horizontal="center"/>
      <protection hidden="1"/>
    </xf>
    <xf numFmtId="169" fontId="2" fillId="2" borderId="9" xfId="0" applyNumberFormat="1" applyFont="1" applyFill="1" applyBorder="1" applyAlignment="1" applyProtection="1">
      <alignment horizontal="center"/>
      <protection hidden="1"/>
    </xf>
    <xf numFmtId="1" fontId="2" fillId="0" borderId="51" xfId="0" applyNumberFormat="1" applyFont="1" applyBorder="1" applyAlignment="1" applyProtection="1">
      <alignment horizontal="center"/>
      <protection locked="0" hidden="1"/>
    </xf>
    <xf numFmtId="164" fontId="2" fillId="0" borderId="51" xfId="0" applyNumberFormat="1" applyFont="1" applyBorder="1" applyAlignment="1" applyProtection="1">
      <alignment horizontal="center"/>
      <protection locked="0" hidden="1"/>
    </xf>
    <xf numFmtId="1" fontId="2" fillId="0" borderId="53" xfId="0" applyNumberFormat="1" applyFont="1" applyBorder="1" applyAlignment="1" applyProtection="1">
      <alignment horizontal="center"/>
      <protection locked="0" hidden="1"/>
    </xf>
    <xf numFmtId="1" fontId="6" fillId="0" borderId="53" xfId="0" applyNumberFormat="1" applyFont="1" applyFill="1" applyBorder="1" applyAlignment="1" applyProtection="1">
      <alignment horizontal="center"/>
      <protection locked="0"/>
    </xf>
    <xf numFmtId="166" fontId="2" fillId="2" borderId="9" xfId="0" applyNumberFormat="1" applyFont="1" applyFill="1" applyBorder="1" applyAlignment="1" applyProtection="1">
      <alignment horizontal="center"/>
      <protection hidden="1"/>
    </xf>
    <xf numFmtId="167" fontId="2" fillId="2" borderId="11" xfId="0" applyNumberFormat="1" applyFont="1" applyFill="1" applyBorder="1" applyAlignment="1" applyProtection="1">
      <alignment horizontal="center"/>
      <protection hidden="1"/>
    </xf>
    <xf numFmtId="168" fontId="2" fillId="2" borderId="54" xfId="0" applyNumberFormat="1" applyFont="1" applyFill="1" applyBorder="1" applyAlignment="1" applyProtection="1">
      <alignment horizontal="center"/>
      <protection hidden="1"/>
    </xf>
    <xf numFmtId="0" fontId="0" fillId="0" borderId="55" xfId="0" applyBorder="1" applyProtection="1"/>
    <xf numFmtId="164" fontId="0" fillId="0" borderId="56" xfId="0" applyNumberFormat="1" applyBorder="1" applyProtection="1"/>
    <xf numFmtId="164" fontId="0" fillId="0" borderId="57" xfId="0" applyNumberFormat="1" applyBorder="1" applyProtection="1"/>
    <xf numFmtId="164" fontId="0" fillId="0" borderId="55" xfId="0" applyNumberFormat="1" applyBorder="1" applyProtection="1"/>
    <xf numFmtId="164" fontId="0" fillId="0" borderId="58" xfId="0" applyNumberFormat="1" applyBorder="1" applyAlignment="1" applyProtection="1">
      <alignment horizontal="centerContinuous"/>
    </xf>
    <xf numFmtId="164" fontId="0" fillId="0" borderId="57" xfId="0" applyNumberFormat="1" applyBorder="1" applyAlignment="1" applyProtection="1">
      <alignment horizontal="centerContinuous"/>
    </xf>
    <xf numFmtId="164" fontId="0" fillId="0" borderId="59" xfId="0" applyNumberFormat="1" applyBorder="1" applyProtection="1"/>
    <xf numFmtId="165" fontId="0" fillId="0" borderId="55" xfId="0" applyNumberFormat="1" applyBorder="1" applyProtection="1"/>
    <xf numFmtId="0" fontId="0" fillId="0" borderId="56" xfId="0" applyBorder="1" applyProtection="1"/>
    <xf numFmtId="165" fontId="0" fillId="0" borderId="56" xfId="0" applyNumberFormat="1" applyBorder="1" applyProtection="1"/>
    <xf numFmtId="165" fontId="1" fillId="0" borderId="57" xfId="0" applyNumberFormat="1" applyFont="1" applyBorder="1" applyProtection="1"/>
    <xf numFmtId="0" fontId="0" fillId="0" borderId="57" xfId="0" applyBorder="1" applyProtection="1"/>
    <xf numFmtId="0" fontId="0" fillId="0" borderId="60" xfId="0" applyBorder="1" applyAlignment="1" applyProtection="1">
      <alignment horizontal="centerContinuous"/>
    </xf>
    <xf numFmtId="0" fontId="0" fillId="0" borderId="57" xfId="0" applyBorder="1" applyAlignment="1" applyProtection="1">
      <alignment horizontal="centerContinuous"/>
    </xf>
    <xf numFmtId="0" fontId="1" fillId="0" borderId="61" xfId="0" applyFont="1" applyBorder="1" applyAlignment="1" applyProtection="1">
      <alignment horizontal="center" textRotation="90" wrapText="1"/>
    </xf>
    <xf numFmtId="164" fontId="1" fillId="0" borderId="4" xfId="0" applyNumberFormat="1" applyFont="1" applyBorder="1" applyAlignment="1" applyProtection="1">
      <alignment horizontal="center" textRotation="90" wrapText="1"/>
    </xf>
    <xf numFmtId="164" fontId="1" fillId="0" borderId="22" xfId="0" applyNumberFormat="1" applyFont="1" applyBorder="1" applyAlignment="1" applyProtection="1">
      <alignment horizontal="center" textRotation="90" wrapText="1"/>
    </xf>
    <xf numFmtId="165" fontId="1" fillId="0" borderId="61" xfId="0" applyNumberFormat="1" applyFont="1" applyBorder="1" applyAlignment="1" applyProtection="1">
      <alignment horizontal="center" textRotation="90" wrapText="1"/>
    </xf>
    <xf numFmtId="164" fontId="1" fillId="0" borderId="39" xfId="0" applyNumberFormat="1" applyFont="1" applyBorder="1" applyAlignment="1" applyProtection="1">
      <alignment horizontal="center" textRotation="90" wrapText="1"/>
    </xf>
    <xf numFmtId="164" fontId="1" fillId="0" borderId="62" xfId="0" applyNumberFormat="1" applyFont="1" applyBorder="1" applyAlignment="1" applyProtection="1">
      <alignment horizontal="center" textRotation="90" wrapText="1"/>
    </xf>
    <xf numFmtId="164" fontId="1" fillId="0" borderId="61" xfId="0" applyNumberFormat="1" applyFont="1" applyFill="1" applyBorder="1" applyAlignment="1" applyProtection="1">
      <alignment horizontal="center" textRotation="90" wrapText="1"/>
    </xf>
    <xf numFmtId="164" fontId="1" fillId="0" borderId="4" xfId="0" applyNumberFormat="1" applyFont="1" applyFill="1" applyBorder="1" applyAlignment="1" applyProtection="1">
      <alignment horizontal="center" textRotation="90" wrapText="1"/>
    </xf>
    <xf numFmtId="165" fontId="1" fillId="0" borderId="4" xfId="0" applyNumberFormat="1" applyFont="1" applyBorder="1" applyAlignment="1" applyProtection="1">
      <alignment horizontal="center" textRotation="90" wrapText="1"/>
    </xf>
    <xf numFmtId="0" fontId="0" fillId="0" borderId="55" xfId="0" applyBorder="1" applyProtection="1">
      <protection hidden="1"/>
    </xf>
    <xf numFmtId="0" fontId="1" fillId="0" borderId="61" xfId="0" applyFont="1" applyBorder="1" applyAlignment="1" applyProtection="1">
      <alignment horizontal="center" textRotation="90" wrapText="1"/>
      <protection hidden="1"/>
    </xf>
    <xf numFmtId="0" fontId="1" fillId="0" borderId="19" xfId="0" applyFont="1" applyBorder="1" applyAlignment="1" applyProtection="1">
      <alignment horizontal="center"/>
      <protection hidden="1"/>
    </xf>
    <xf numFmtId="0" fontId="1" fillId="3" borderId="19" xfId="0" applyFont="1" applyFill="1" applyBorder="1" applyAlignment="1" applyProtection="1">
      <alignment horizontal="center"/>
      <protection hidden="1"/>
    </xf>
    <xf numFmtId="0" fontId="1" fillId="3" borderId="21" xfId="0" applyFont="1" applyFill="1" applyBorder="1" applyAlignment="1" applyProtection="1">
      <alignment horizontal="center"/>
      <protection hidden="1"/>
    </xf>
    <xf numFmtId="167" fontId="2" fillId="2" borderId="63" xfId="0" applyNumberFormat="1" applyFont="1" applyFill="1" applyBorder="1" applyAlignment="1" applyProtection="1">
      <alignment horizontal="center"/>
      <protection hidden="1"/>
    </xf>
    <xf numFmtId="166" fontId="2" fillId="2" borderId="64" xfId="0" applyNumberFormat="1" applyFont="1" applyFill="1" applyBorder="1" applyAlignment="1" applyProtection="1">
      <alignment horizontal="center"/>
      <protection hidden="1"/>
    </xf>
    <xf numFmtId="0" fontId="1" fillId="0" borderId="19" xfId="0" applyFont="1" applyBorder="1" applyAlignment="1" applyProtection="1">
      <alignment horizontal="center"/>
    </xf>
    <xf numFmtId="0" fontId="1" fillId="3" borderId="19" xfId="0" applyFont="1" applyFill="1" applyBorder="1" applyAlignment="1" applyProtection="1">
      <alignment horizontal="center"/>
    </xf>
    <xf numFmtId="0" fontId="1" fillId="3" borderId="21" xfId="0" applyFont="1" applyFill="1" applyBorder="1" applyAlignment="1" applyProtection="1">
      <alignment horizontal="center"/>
    </xf>
    <xf numFmtId="164" fontId="0" fillId="0" borderId="60" xfId="0" applyNumberFormat="1" applyBorder="1" applyProtection="1"/>
    <xf numFmtId="0" fontId="1" fillId="0" borderId="37" xfId="0" applyFont="1" applyBorder="1" applyAlignment="1" applyProtection="1">
      <alignment horizontal="center" textRotation="90" wrapText="1"/>
    </xf>
    <xf numFmtId="0" fontId="1" fillId="0" borderId="4" xfId="0" applyFont="1" applyBorder="1" applyAlignment="1" applyProtection="1">
      <alignment horizontal="center" textRotation="90" wrapText="1"/>
    </xf>
    <xf numFmtId="0" fontId="1" fillId="0" borderId="22" xfId="0" applyFont="1" applyBorder="1" applyAlignment="1" applyProtection="1">
      <alignment horizontal="center" textRotation="90" wrapText="1"/>
    </xf>
    <xf numFmtId="2" fontId="13" fillId="0" borderId="0" xfId="0" applyNumberFormat="1" applyFont="1" applyProtection="1">
      <protection hidden="1"/>
    </xf>
    <xf numFmtId="173" fontId="13" fillId="0" borderId="0" xfId="0" applyNumberFormat="1" applyFont="1" applyProtection="1">
      <protection hidden="1"/>
    </xf>
    <xf numFmtId="2" fontId="13" fillId="0" borderId="0" xfId="0" applyNumberFormat="1" applyFont="1"/>
    <xf numFmtId="173" fontId="14" fillId="0" borderId="0" xfId="0" applyNumberFormat="1" applyFont="1" applyAlignment="1" applyProtection="1">
      <alignment wrapText="1"/>
      <protection hidden="1"/>
    </xf>
    <xf numFmtId="2" fontId="14" fillId="0" borderId="0" xfId="0" applyNumberFormat="1" applyFont="1" applyProtection="1">
      <protection hidden="1"/>
    </xf>
    <xf numFmtId="173" fontId="14" fillId="0" borderId="0" xfId="0" applyNumberFormat="1" applyFont="1" applyProtection="1">
      <protection hidden="1"/>
    </xf>
    <xf numFmtId="166" fontId="2" fillId="0" borderId="48" xfId="0" applyNumberFormat="1" applyFont="1" applyFill="1" applyBorder="1" applyAlignment="1" applyProtection="1">
      <alignment horizontal="center"/>
      <protection hidden="1"/>
    </xf>
    <xf numFmtId="166" fontId="7" fillId="0" borderId="50" xfId="0" applyNumberFormat="1" applyFont="1" applyBorder="1" applyAlignment="1" applyProtection="1">
      <alignment horizontal="center" wrapText="1"/>
    </xf>
    <xf numFmtId="166" fontId="6" fillId="0" borderId="0" xfId="0" applyNumberFormat="1" applyFont="1" applyFill="1" applyProtection="1"/>
    <xf numFmtId="166" fontId="10" fillId="0" borderId="50" xfId="0" applyNumberFormat="1" applyFont="1" applyBorder="1" applyAlignment="1" applyProtection="1">
      <alignment horizontal="center" wrapText="1"/>
    </xf>
    <xf numFmtId="166" fontId="6" fillId="0" borderId="0" xfId="0" applyNumberFormat="1" applyFont="1" applyProtection="1"/>
    <xf numFmtId="172" fontId="10" fillId="0" borderId="50" xfId="0" applyNumberFormat="1" applyFont="1" applyBorder="1" applyAlignment="1" applyProtection="1">
      <alignment horizontal="center" wrapText="1"/>
    </xf>
    <xf numFmtId="172" fontId="2" fillId="2" borderId="3" xfId="0" applyNumberFormat="1" applyFont="1" applyFill="1" applyBorder="1" applyAlignment="1" applyProtection="1">
      <alignment horizontal="center"/>
      <protection locked="0"/>
    </xf>
    <xf numFmtId="172" fontId="2" fillId="2" borderId="11" xfId="0" applyNumberFormat="1" applyFont="1" applyFill="1" applyBorder="1" applyAlignment="1" applyProtection="1">
      <alignment horizontal="center"/>
      <protection locked="0"/>
    </xf>
    <xf numFmtId="172" fontId="2" fillId="0" borderId="48" xfId="0" applyNumberFormat="1" applyFont="1" applyFill="1" applyBorder="1" applyAlignment="1" applyProtection="1">
      <alignment horizontal="center"/>
      <protection hidden="1"/>
    </xf>
    <xf numFmtId="172" fontId="6" fillId="0" borderId="0" xfId="0" applyNumberFormat="1" applyFont="1" applyProtection="1"/>
    <xf numFmtId="167" fontId="7" fillId="0" borderId="50" xfId="0" applyNumberFormat="1" applyFont="1" applyBorder="1" applyAlignment="1" applyProtection="1">
      <alignment horizontal="center" wrapText="1"/>
    </xf>
    <xf numFmtId="167" fontId="2" fillId="2" borderId="3" xfId="0" applyNumberFormat="1" applyFont="1" applyFill="1" applyBorder="1" applyAlignment="1" applyProtection="1">
      <alignment horizontal="center"/>
      <protection locked="0"/>
    </xf>
    <xf numFmtId="167" fontId="2" fillId="2" borderId="11" xfId="0" applyNumberFormat="1" applyFont="1" applyFill="1" applyBorder="1" applyAlignment="1" applyProtection="1">
      <alignment horizontal="center"/>
      <protection locked="0"/>
    </xf>
    <xf numFmtId="167" fontId="2" fillId="0" borderId="48" xfId="0" applyNumberFormat="1" applyFont="1" applyFill="1" applyBorder="1" applyAlignment="1" applyProtection="1">
      <alignment horizontal="center"/>
      <protection hidden="1"/>
    </xf>
    <xf numFmtId="167" fontId="2" fillId="2" borderId="12" xfId="0" applyNumberFormat="1" applyFont="1" applyFill="1" applyBorder="1" applyAlignment="1" applyProtection="1">
      <alignment horizontal="center"/>
      <protection locked="0"/>
    </xf>
    <xf numFmtId="167" fontId="6" fillId="0" borderId="0" xfId="0" applyNumberFormat="1" applyFont="1" applyProtection="1"/>
    <xf numFmtId="165" fontId="7" fillId="2" borderId="5" xfId="0" applyNumberFormat="1" applyFont="1" applyFill="1" applyBorder="1" applyProtection="1">
      <protection locked="0"/>
    </xf>
    <xf numFmtId="165" fontId="7" fillId="2" borderId="5" xfId="0" quotePrefix="1" applyNumberFormat="1" applyFont="1" applyFill="1" applyBorder="1" applyProtection="1">
      <protection locked="0"/>
    </xf>
    <xf numFmtId="167" fontId="11" fillId="0" borderId="4" xfId="0" applyNumberFormat="1" applyFont="1" applyBorder="1" applyAlignment="1" applyProtection="1">
      <alignment horizontal="center" wrapText="1"/>
    </xf>
    <xf numFmtId="167" fontId="2" fillId="0" borderId="37" xfId="0" applyNumberFormat="1" applyFont="1" applyFill="1" applyBorder="1" applyAlignment="1" applyProtection="1">
      <alignment horizontal="center"/>
      <protection hidden="1"/>
    </xf>
    <xf numFmtId="167" fontId="2" fillId="2" borderId="47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 applyProtection="1"/>
    <xf numFmtId="167" fontId="0" fillId="0" borderId="0" xfId="0" applyNumberFormat="1" applyFill="1" applyProtection="1"/>
    <xf numFmtId="166" fontId="11" fillId="0" borderId="4" xfId="0" applyNumberFormat="1" applyFont="1" applyBorder="1" applyAlignment="1" applyProtection="1">
      <alignment horizontal="center" wrapText="1"/>
    </xf>
    <xf numFmtId="166" fontId="2" fillId="0" borderId="37" xfId="0" applyNumberFormat="1" applyFont="1" applyFill="1" applyBorder="1" applyAlignment="1" applyProtection="1">
      <alignment horizontal="center"/>
      <protection hidden="1"/>
    </xf>
    <xf numFmtId="166" fontId="2" fillId="2" borderId="47" xfId="0" applyNumberFormat="1" applyFont="1" applyFill="1" applyBorder="1" applyAlignment="1" applyProtection="1">
      <alignment horizontal="center"/>
      <protection locked="0"/>
    </xf>
    <xf numFmtId="166" fontId="0" fillId="0" borderId="0" xfId="0" applyNumberFormat="1" applyProtection="1"/>
    <xf numFmtId="172" fontId="11" fillId="0" borderId="4" xfId="0" applyNumberFormat="1" applyFont="1" applyBorder="1" applyAlignment="1" applyProtection="1">
      <alignment horizontal="center" wrapText="1"/>
    </xf>
    <xf numFmtId="172" fontId="2" fillId="0" borderId="37" xfId="0" applyNumberFormat="1" applyFont="1" applyFill="1" applyBorder="1" applyAlignment="1" applyProtection="1">
      <alignment horizontal="center"/>
      <protection hidden="1"/>
    </xf>
    <xf numFmtId="172" fontId="2" fillId="2" borderId="47" xfId="0" applyNumberFormat="1" applyFont="1" applyFill="1" applyBorder="1" applyAlignment="1" applyProtection="1">
      <alignment horizontal="center"/>
      <protection locked="0"/>
    </xf>
    <xf numFmtId="172" fontId="0" fillId="0" borderId="0" xfId="0" applyNumberFormat="1" applyProtection="1"/>
    <xf numFmtId="174" fontId="1" fillId="0" borderId="37" xfId="0" applyNumberFormat="1" applyFont="1" applyBorder="1" applyAlignment="1" applyProtection="1">
      <alignment horizontal="center" wrapText="1"/>
    </xf>
    <xf numFmtId="174" fontId="1" fillId="0" borderId="0" xfId="0" applyNumberFormat="1" applyFont="1" applyProtection="1"/>
    <xf numFmtId="174" fontId="7" fillId="0" borderId="37" xfId="0" applyNumberFormat="1" applyFont="1" applyBorder="1" applyAlignment="1" applyProtection="1">
      <alignment horizontal="center" wrapText="1"/>
    </xf>
    <xf numFmtId="174" fontId="6" fillId="0" borderId="0" xfId="0" applyNumberFormat="1" applyFont="1" applyProtection="1"/>
    <xf numFmtId="174" fontId="0" fillId="0" borderId="0" xfId="0" applyNumberFormat="1" applyProtection="1"/>
    <xf numFmtId="174" fontId="1" fillId="0" borderId="0" xfId="0" applyNumberFormat="1" applyFont="1" applyProtection="1">
      <protection locked="0"/>
    </xf>
    <xf numFmtId="171" fontId="7" fillId="0" borderId="24" xfId="0" applyNumberFormat="1" applyFont="1" applyBorder="1" applyAlignment="1" applyProtection="1">
      <alignment horizontal="center" wrapText="1"/>
      <protection hidden="1"/>
    </xf>
    <xf numFmtId="171" fontId="7" fillId="0" borderId="38" xfId="0" applyNumberFormat="1" applyFont="1" applyFill="1" applyBorder="1" applyAlignment="1" applyProtection="1">
      <alignment horizontal="center" wrapText="1"/>
      <protection hidden="1"/>
    </xf>
    <xf numFmtId="166" fontId="6" fillId="2" borderId="3" xfId="0" applyNumberFormat="1" applyFont="1" applyFill="1" applyBorder="1" applyAlignment="1" applyProtection="1">
      <alignment horizontal="center"/>
      <protection locked="0"/>
    </xf>
    <xf numFmtId="166" fontId="6" fillId="2" borderId="9" xfId="0" applyNumberFormat="1" applyFont="1" applyFill="1" applyBorder="1" applyAlignment="1" applyProtection="1">
      <alignment horizontal="center"/>
      <protection locked="0"/>
    </xf>
    <xf numFmtId="165" fontId="2" fillId="0" borderId="37" xfId="0" applyNumberFormat="1" applyFont="1" applyFill="1" applyBorder="1" applyAlignment="1" applyProtection="1">
      <alignment horizontal="center"/>
      <protection hidden="1"/>
    </xf>
    <xf numFmtId="2" fontId="6" fillId="2" borderId="3" xfId="0" applyNumberFormat="1" applyFont="1" applyFill="1" applyBorder="1" applyAlignment="1" applyProtection="1">
      <alignment horizontal="center"/>
      <protection locked="0"/>
    </xf>
    <xf numFmtId="167" fontId="2" fillId="2" borderId="9" xfId="0" applyNumberFormat="1" applyFont="1" applyFill="1" applyBorder="1" applyAlignment="1" applyProtection="1">
      <alignment horizontal="center"/>
      <protection locked="0"/>
    </xf>
    <xf numFmtId="166" fontId="2" fillId="2" borderId="9" xfId="0" applyNumberFormat="1" applyFont="1" applyFill="1" applyBorder="1" applyAlignment="1" applyProtection="1">
      <alignment horizontal="center"/>
      <protection locked="0"/>
    </xf>
    <xf numFmtId="2" fontId="6" fillId="2" borderId="9" xfId="0" applyNumberFormat="1" applyFont="1" applyFill="1" applyBorder="1" applyAlignment="1" applyProtection="1">
      <alignment horizontal="center"/>
      <protection locked="0"/>
    </xf>
    <xf numFmtId="165" fontId="2" fillId="2" borderId="9" xfId="0" applyNumberFormat="1" applyFont="1" applyFill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</xf>
    <xf numFmtId="0" fontId="1" fillId="0" borderId="8" xfId="0" applyFont="1" applyBorder="1" applyAlignment="1" applyProtection="1">
      <alignment horizontal="center"/>
    </xf>
    <xf numFmtId="164" fontId="7" fillId="0" borderId="4" xfId="0" applyNumberFormat="1" applyFont="1" applyBorder="1" applyAlignment="1" applyProtection="1">
      <alignment horizontal="center" wrapText="1"/>
    </xf>
    <xf numFmtId="0" fontId="7" fillId="0" borderId="4" xfId="0" applyFont="1" applyBorder="1" applyAlignment="1" applyProtection="1">
      <alignment horizontal="center" wrapText="1"/>
    </xf>
    <xf numFmtId="0" fontId="10" fillId="0" borderId="4" xfId="0" applyFont="1" applyBorder="1" applyAlignment="1" applyProtection="1">
      <alignment horizontal="center" wrapText="1"/>
    </xf>
    <xf numFmtId="164" fontId="10" fillId="0" borderId="4" xfId="0" applyNumberFormat="1" applyFont="1" applyBorder="1" applyAlignment="1" applyProtection="1">
      <alignment horizontal="center" wrapText="1"/>
    </xf>
    <xf numFmtId="0" fontId="7" fillId="0" borderId="8" xfId="0" applyFont="1" applyBorder="1" applyAlignment="1" applyProtection="1">
      <alignment horizontal="center"/>
    </xf>
    <xf numFmtId="0" fontId="16" fillId="0" borderId="0" xfId="0" applyFont="1" applyProtection="1">
      <protection hidden="1"/>
    </xf>
    <xf numFmtId="0" fontId="17" fillId="0" borderId="0" xfId="0" applyFont="1" applyAlignment="1" applyProtection="1">
      <alignment wrapText="1"/>
      <protection hidden="1"/>
    </xf>
    <xf numFmtId="0" fontId="17" fillId="0" borderId="0" xfId="0" applyFont="1" applyProtection="1">
      <protection hidden="1"/>
    </xf>
    <xf numFmtId="0" fontId="15" fillId="0" borderId="0" xfId="0" applyFont="1" applyProtection="1">
      <protection hidden="1"/>
    </xf>
    <xf numFmtId="0" fontId="18" fillId="0" borderId="0" xfId="0" applyFont="1" applyAlignment="1" applyProtection="1">
      <alignment wrapText="1"/>
    </xf>
    <xf numFmtId="0" fontId="18" fillId="0" borderId="0" xfId="0" applyFont="1" applyAlignment="1" applyProtection="1">
      <alignment wrapText="1"/>
      <protection hidden="1"/>
    </xf>
    <xf numFmtId="164" fontId="15" fillId="0" borderId="25" xfId="0" applyNumberFormat="1" applyFont="1" applyFill="1" applyBorder="1" applyAlignment="1" applyProtection="1">
      <alignment horizontal="center"/>
      <protection hidden="1"/>
    </xf>
    <xf numFmtId="164" fontId="15" fillId="0" borderId="0" xfId="0" applyNumberFormat="1" applyFont="1" applyFill="1" applyBorder="1" applyAlignment="1" applyProtection="1">
      <alignment horizontal="center"/>
      <protection hidden="1"/>
    </xf>
    <xf numFmtId="164" fontId="18" fillId="0" borderId="0" xfId="0" applyNumberFormat="1" applyFont="1" applyProtection="1">
      <protection hidden="1"/>
    </xf>
    <xf numFmtId="169" fontId="18" fillId="0" borderId="0" xfId="0" applyNumberFormat="1" applyFont="1" applyProtection="1">
      <protection hidden="1"/>
    </xf>
    <xf numFmtId="2" fontId="15" fillId="0" borderId="0" xfId="0" applyNumberFormat="1" applyFont="1" applyProtection="1">
      <protection hidden="1"/>
    </xf>
    <xf numFmtId="164" fontId="15" fillId="0" borderId="0" xfId="0" applyNumberFormat="1" applyFont="1" applyProtection="1">
      <protection hidden="1"/>
    </xf>
    <xf numFmtId="2" fontId="15" fillId="0" borderId="0" xfId="0" applyNumberFormat="1" applyFont="1"/>
    <xf numFmtId="2" fontId="18" fillId="0" borderId="0" xfId="0" applyNumberFormat="1" applyFont="1" applyAlignment="1" applyProtection="1">
      <alignment wrapText="1"/>
      <protection hidden="1"/>
    </xf>
    <xf numFmtId="164" fontId="18" fillId="0" borderId="0" xfId="0" applyNumberFormat="1" applyFont="1" applyAlignment="1" applyProtection="1">
      <alignment wrapText="1"/>
      <protection hidden="1"/>
    </xf>
    <xf numFmtId="2" fontId="18" fillId="0" borderId="0" xfId="0" applyNumberFormat="1" applyFont="1" applyProtection="1">
      <protection hidden="1"/>
    </xf>
    <xf numFmtId="1" fontId="15" fillId="0" borderId="0" xfId="0" applyNumberFormat="1" applyFont="1" applyProtection="1">
      <protection hidden="1"/>
    </xf>
    <xf numFmtId="0" fontId="2" fillId="0" borderId="10" xfId="0" applyFont="1" applyBorder="1" applyProtection="1">
      <protection locked="0"/>
    </xf>
    <xf numFmtId="164" fontId="2" fillId="0" borderId="10" xfId="0" applyNumberFormat="1" applyFont="1" applyBorder="1" applyAlignment="1" applyProtection="1">
      <alignment horizontal="left" wrapText="1"/>
      <protection locked="0"/>
    </xf>
    <xf numFmtId="0" fontId="2" fillId="0" borderId="10" xfId="0" applyFont="1" applyBorder="1" applyAlignment="1" applyProtection="1">
      <alignment wrapText="1"/>
      <protection locked="0"/>
    </xf>
    <xf numFmtId="0" fontId="0" fillId="0" borderId="51" xfId="0" applyBorder="1" applyProtection="1"/>
    <xf numFmtId="167" fontId="6" fillId="3" borderId="12" xfId="0" applyNumberFormat="1" applyFont="1" applyFill="1" applyBorder="1" applyAlignment="1" applyProtection="1">
      <alignment horizontal="center"/>
      <protection hidden="1"/>
    </xf>
    <xf numFmtId="166" fontId="6" fillId="3" borderId="12" xfId="0" applyNumberFormat="1" applyFont="1" applyFill="1" applyBorder="1" applyAlignment="1" applyProtection="1">
      <alignment horizontal="center"/>
      <protection hidden="1"/>
    </xf>
    <xf numFmtId="168" fontId="6" fillId="3" borderId="19" xfId="0" applyNumberFormat="1" applyFont="1" applyFill="1" applyBorder="1" applyAlignment="1" applyProtection="1">
      <alignment horizontal="center"/>
      <protection hidden="1"/>
    </xf>
    <xf numFmtId="166" fontId="6" fillId="3" borderId="14" xfId="0" applyNumberFormat="1" applyFont="1" applyFill="1" applyBorder="1" applyAlignment="1" applyProtection="1">
      <alignment horizontal="center"/>
      <protection hidden="1"/>
    </xf>
    <xf numFmtId="166" fontId="6" fillId="3" borderId="19" xfId="0" applyNumberFormat="1" applyFont="1" applyFill="1" applyBorder="1" applyAlignment="1" applyProtection="1">
      <alignment horizontal="center"/>
      <protection hidden="1"/>
    </xf>
    <xf numFmtId="166" fontId="6" fillId="3" borderId="29" xfId="0" applyNumberFormat="1" applyFont="1" applyFill="1" applyBorder="1" applyAlignment="1" applyProtection="1">
      <alignment horizontal="center"/>
      <protection hidden="1"/>
    </xf>
    <xf numFmtId="169" fontId="6" fillId="3" borderId="12" xfId="0" applyNumberFormat="1" applyFont="1" applyFill="1" applyBorder="1" applyAlignment="1" applyProtection="1">
      <alignment horizontal="center"/>
      <protection hidden="1"/>
    </xf>
    <xf numFmtId="1" fontId="0" fillId="0" borderId="7" xfId="0" applyNumberFormat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1" fontId="0" fillId="3" borderId="35" xfId="0" applyNumberFormat="1" applyFill="1" applyBorder="1" applyAlignment="1" applyProtection="1">
      <alignment horizontal="center"/>
      <protection locked="0"/>
    </xf>
    <xf numFmtId="164" fontId="2" fillId="3" borderId="7" xfId="0" applyNumberFormat="1" applyFont="1" applyFill="1" applyBorder="1" applyAlignment="1" applyProtection="1">
      <alignment horizontal="center"/>
      <protection locked="0" hidden="1"/>
    </xf>
    <xf numFmtId="164" fontId="2" fillId="3" borderId="0" xfId="0" applyNumberFormat="1" applyFont="1" applyFill="1" applyBorder="1" applyAlignment="1" applyProtection="1">
      <alignment horizontal="center"/>
      <protection hidden="1"/>
    </xf>
    <xf numFmtId="0" fontId="0" fillId="0" borderId="65" xfId="0" applyBorder="1" applyAlignment="1" applyProtection="1">
      <alignment horizontal="centerContinuous"/>
    </xf>
    <xf numFmtId="0" fontId="0" fillId="0" borderId="53" xfId="0" applyBorder="1" applyAlignment="1" applyProtection="1">
      <alignment horizontal="centerContinuous"/>
    </xf>
    <xf numFmtId="164" fontId="0" fillId="0" borderId="51" xfId="0" applyNumberFormat="1" applyBorder="1" applyProtection="1"/>
    <xf numFmtId="0" fontId="0" fillId="0" borderId="66" xfId="0" applyBorder="1" applyAlignment="1" applyProtection="1">
      <alignment horizontal="centerContinuous"/>
    </xf>
    <xf numFmtId="164" fontId="1" fillId="0" borderId="4" xfId="0" applyNumberFormat="1" applyFont="1" applyBorder="1" applyAlignment="1" applyProtection="1">
      <alignment horizontal="center" wrapText="1"/>
    </xf>
    <xf numFmtId="0" fontId="1" fillId="0" borderId="4" xfId="0" applyFont="1" applyBorder="1" applyAlignment="1" applyProtection="1">
      <alignment horizontal="center" wrapText="1"/>
    </xf>
    <xf numFmtId="0" fontId="1" fillId="0" borderId="7" xfId="0" applyFont="1" applyBorder="1" applyAlignment="1" applyProtection="1">
      <alignment horizontal="center" wrapText="1"/>
    </xf>
    <xf numFmtId="0" fontId="1" fillId="0" borderId="37" xfId="0" applyFont="1" applyFill="1" applyBorder="1" applyAlignment="1" applyProtection="1">
      <alignment horizontal="center" wrapText="1"/>
    </xf>
    <xf numFmtId="1" fontId="15" fillId="0" borderId="0" xfId="0" applyNumberFormat="1" applyFont="1" applyBorder="1"/>
    <xf numFmtId="164" fontId="1" fillId="3" borderId="0" xfId="0" applyNumberFormat="1" applyFont="1" applyFill="1" applyBorder="1" applyAlignment="1" applyProtection="1">
      <alignment horizontal="center"/>
      <protection hidden="1"/>
    </xf>
    <xf numFmtId="164" fontId="2" fillId="0" borderId="7" xfId="0" applyNumberFormat="1" applyFont="1" applyFill="1" applyBorder="1" applyAlignment="1" applyProtection="1">
      <alignment horizontal="center"/>
      <protection locked="0" hidden="1"/>
    </xf>
    <xf numFmtId="165" fontId="2" fillId="2" borderId="40" xfId="0" applyNumberFormat="1" applyFont="1" applyFill="1" applyBorder="1" applyAlignment="1" applyProtection="1">
      <alignment vertical="top" wrapText="1"/>
      <protection locked="0"/>
    </xf>
    <xf numFmtId="0" fontId="0" fillId="0" borderId="41" xfId="0" applyBorder="1" applyAlignment="1" applyProtection="1">
      <alignment vertical="top" wrapText="1"/>
      <protection locked="0"/>
    </xf>
    <xf numFmtId="0" fontId="0" fillId="0" borderId="42" xfId="0" applyBorder="1" applyAlignment="1" applyProtection="1">
      <alignment vertical="top" wrapText="1"/>
      <protection locked="0"/>
    </xf>
    <xf numFmtId="0" fontId="0" fillId="0" borderId="43" xfId="0" applyBorder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0" fontId="0" fillId="0" borderId="23" xfId="0" applyBorder="1" applyAlignment="1" applyProtection="1">
      <alignment vertical="top" wrapText="1"/>
      <protection locked="0"/>
    </xf>
    <xf numFmtId="0" fontId="0" fillId="0" borderId="44" xfId="0" applyBorder="1" applyAlignment="1" applyProtection="1">
      <alignment vertical="top" wrapText="1"/>
      <protection locked="0"/>
    </xf>
    <xf numFmtId="0" fontId="0" fillId="0" borderId="45" xfId="0" applyBorder="1" applyAlignment="1" applyProtection="1">
      <alignment vertical="top" wrapText="1"/>
      <protection locked="0"/>
    </xf>
    <xf numFmtId="0" fontId="0" fillId="0" borderId="46" xfId="0" applyBorder="1" applyAlignment="1" applyProtection="1">
      <alignment vertical="top" wrapText="1"/>
      <protection locked="0"/>
    </xf>
    <xf numFmtId="15" fontId="1" fillId="2" borderId="5" xfId="0" applyNumberFormat="1" applyFont="1" applyFill="1" applyBorder="1" applyAlignment="1" applyProtection="1"/>
    <xf numFmtId="0" fontId="0" fillId="0" borderId="2" xfId="0" applyBorder="1" applyAlignment="1"/>
    <xf numFmtId="165" fontId="1" fillId="2" borderId="5" xfId="0" applyNumberFormat="1" applyFont="1" applyFill="1" applyBorder="1" applyAlignment="1" applyProtection="1"/>
    <xf numFmtId="15" fontId="1" fillId="2" borderId="5" xfId="0" applyNumberFormat="1" applyFont="1" applyFill="1" applyBorder="1" applyAlignment="1" applyProtection="1">
      <protection locked="0"/>
    </xf>
    <xf numFmtId="165" fontId="1" fillId="2" borderId="5" xfId="0" applyNumberFormat="1" applyFont="1" applyFill="1" applyBorder="1" applyAlignment="1" applyProtection="1">
      <protection locked="0"/>
    </xf>
    <xf numFmtId="164" fontId="6" fillId="0" borderId="51" xfId="0" applyNumberFormat="1" applyFont="1" applyBorder="1" applyAlignment="1" applyProtection="1">
      <alignment horizontal="center"/>
    </xf>
    <xf numFmtId="0" fontId="0" fillId="0" borderId="51" xfId="0" applyBorder="1" applyAlignment="1" applyProtection="1"/>
    <xf numFmtId="0" fontId="1" fillId="0" borderId="38" xfId="0" applyFont="1" applyBorder="1" applyAlignment="1" applyProtection="1">
      <alignment horizontal="center" wrapText="1"/>
    </xf>
    <xf numFmtId="0" fontId="1" fillId="0" borderId="39" xfId="0" applyFont="1" applyBorder="1" applyAlignment="1" applyProtection="1">
      <alignment horizontal="center" wrapText="1"/>
    </xf>
    <xf numFmtId="0" fontId="1" fillId="0" borderId="4" xfId="0" applyFont="1" applyBorder="1" applyAlignment="1" applyProtection="1">
      <alignment horizontal="center" wrapText="1"/>
    </xf>
    <xf numFmtId="170" fontId="10" fillId="2" borderId="5" xfId="0" applyNumberFormat="1" applyFont="1" applyFill="1" applyBorder="1" applyAlignment="1" applyProtection="1">
      <protection hidden="1"/>
    </xf>
    <xf numFmtId="0" fontId="0" fillId="0" borderId="6" xfId="0" applyBorder="1" applyAlignment="1"/>
    <xf numFmtId="165" fontId="1" fillId="2" borderId="43" xfId="0" applyNumberFormat="1" applyFont="1" applyFill="1" applyBorder="1" applyAlignment="1" applyProtection="1">
      <protection hidden="1"/>
    </xf>
    <xf numFmtId="0" fontId="0" fillId="0" borderId="0" xfId="0" applyAlignment="1"/>
    <xf numFmtId="0" fontId="0" fillId="0" borderId="23" xfId="0" applyBorder="1" applyAlignment="1"/>
  </cellXfs>
  <cellStyles count="1">
    <cellStyle name="Normal" xfId="0" builtinId="0"/>
  </cellStyles>
  <dxfs count="4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3.xml"/><Relationship Id="rId21" Type="http://schemas.openxmlformats.org/officeDocument/2006/relationships/worksheet" Target="worksheets/sheet18.xml"/><Relationship Id="rId42" Type="http://schemas.openxmlformats.org/officeDocument/2006/relationships/worksheet" Target="worksheets/sheet39.xml"/><Relationship Id="rId47" Type="http://schemas.openxmlformats.org/officeDocument/2006/relationships/worksheet" Target="worksheets/sheet44.xml"/><Relationship Id="rId63" Type="http://schemas.openxmlformats.org/officeDocument/2006/relationships/worksheet" Target="worksheets/sheet60.xml"/><Relationship Id="rId68" Type="http://schemas.openxmlformats.org/officeDocument/2006/relationships/worksheet" Target="worksheets/sheet65.xml"/><Relationship Id="rId84" Type="http://schemas.openxmlformats.org/officeDocument/2006/relationships/worksheet" Target="worksheets/sheet81.xml"/><Relationship Id="rId89" Type="http://schemas.openxmlformats.org/officeDocument/2006/relationships/worksheet" Target="worksheets/sheet8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3.xml"/><Relationship Id="rId29" Type="http://schemas.openxmlformats.org/officeDocument/2006/relationships/worksheet" Target="worksheets/sheet26.xml"/><Relationship Id="rId107" Type="http://schemas.openxmlformats.org/officeDocument/2006/relationships/worksheet" Target="worksheets/sheet104.xml"/><Relationship Id="rId11" Type="http://schemas.openxmlformats.org/officeDocument/2006/relationships/chartsheet" Target="chartsheets/sheet3.xml"/><Relationship Id="rId24" Type="http://schemas.openxmlformats.org/officeDocument/2006/relationships/worksheet" Target="worksheets/sheet21.xml"/><Relationship Id="rId32" Type="http://schemas.openxmlformats.org/officeDocument/2006/relationships/worksheet" Target="worksheets/sheet29.xml"/><Relationship Id="rId37" Type="http://schemas.openxmlformats.org/officeDocument/2006/relationships/worksheet" Target="worksheets/sheet34.xml"/><Relationship Id="rId40" Type="http://schemas.openxmlformats.org/officeDocument/2006/relationships/worksheet" Target="worksheets/sheet37.xml"/><Relationship Id="rId45" Type="http://schemas.openxmlformats.org/officeDocument/2006/relationships/worksheet" Target="worksheets/sheet42.xml"/><Relationship Id="rId53" Type="http://schemas.openxmlformats.org/officeDocument/2006/relationships/worksheet" Target="worksheets/sheet50.xml"/><Relationship Id="rId58" Type="http://schemas.openxmlformats.org/officeDocument/2006/relationships/worksheet" Target="worksheets/sheet55.xml"/><Relationship Id="rId66" Type="http://schemas.openxmlformats.org/officeDocument/2006/relationships/worksheet" Target="worksheets/sheet63.xml"/><Relationship Id="rId74" Type="http://schemas.openxmlformats.org/officeDocument/2006/relationships/worksheet" Target="worksheets/sheet71.xml"/><Relationship Id="rId79" Type="http://schemas.openxmlformats.org/officeDocument/2006/relationships/worksheet" Target="worksheets/sheet76.xml"/><Relationship Id="rId87" Type="http://schemas.openxmlformats.org/officeDocument/2006/relationships/worksheet" Target="worksheets/sheet84.xml"/><Relationship Id="rId102" Type="http://schemas.openxmlformats.org/officeDocument/2006/relationships/worksheet" Target="worksheets/sheet99.xml"/><Relationship Id="rId11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58.xml"/><Relationship Id="rId82" Type="http://schemas.openxmlformats.org/officeDocument/2006/relationships/worksheet" Target="worksheets/sheet79.xml"/><Relationship Id="rId90" Type="http://schemas.openxmlformats.org/officeDocument/2006/relationships/worksheet" Target="worksheets/sheet87.xml"/><Relationship Id="rId95" Type="http://schemas.openxmlformats.org/officeDocument/2006/relationships/worksheet" Target="worksheets/sheet92.xml"/><Relationship Id="rId19" Type="http://schemas.openxmlformats.org/officeDocument/2006/relationships/worksheet" Target="worksheets/sheet16.xml"/><Relationship Id="rId14" Type="http://schemas.openxmlformats.org/officeDocument/2006/relationships/worksheet" Target="worksheets/sheet11.xml"/><Relationship Id="rId22" Type="http://schemas.openxmlformats.org/officeDocument/2006/relationships/worksheet" Target="worksheets/sheet19.xml"/><Relationship Id="rId27" Type="http://schemas.openxmlformats.org/officeDocument/2006/relationships/worksheet" Target="worksheets/sheet24.xml"/><Relationship Id="rId30" Type="http://schemas.openxmlformats.org/officeDocument/2006/relationships/worksheet" Target="worksheets/sheet27.xml"/><Relationship Id="rId35" Type="http://schemas.openxmlformats.org/officeDocument/2006/relationships/worksheet" Target="worksheets/sheet32.xml"/><Relationship Id="rId43" Type="http://schemas.openxmlformats.org/officeDocument/2006/relationships/worksheet" Target="worksheets/sheet40.xml"/><Relationship Id="rId48" Type="http://schemas.openxmlformats.org/officeDocument/2006/relationships/worksheet" Target="worksheets/sheet45.xml"/><Relationship Id="rId56" Type="http://schemas.openxmlformats.org/officeDocument/2006/relationships/worksheet" Target="worksheets/sheet53.xml"/><Relationship Id="rId64" Type="http://schemas.openxmlformats.org/officeDocument/2006/relationships/worksheet" Target="worksheets/sheet61.xml"/><Relationship Id="rId69" Type="http://schemas.openxmlformats.org/officeDocument/2006/relationships/worksheet" Target="worksheets/sheet66.xml"/><Relationship Id="rId77" Type="http://schemas.openxmlformats.org/officeDocument/2006/relationships/worksheet" Target="worksheets/sheet74.xml"/><Relationship Id="rId100" Type="http://schemas.openxmlformats.org/officeDocument/2006/relationships/worksheet" Target="worksheets/sheet97.xml"/><Relationship Id="rId105" Type="http://schemas.openxmlformats.org/officeDocument/2006/relationships/worksheet" Target="worksheets/sheet10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48.xml"/><Relationship Id="rId72" Type="http://schemas.openxmlformats.org/officeDocument/2006/relationships/worksheet" Target="worksheets/sheet69.xml"/><Relationship Id="rId80" Type="http://schemas.openxmlformats.org/officeDocument/2006/relationships/worksheet" Target="worksheets/sheet77.xml"/><Relationship Id="rId85" Type="http://schemas.openxmlformats.org/officeDocument/2006/relationships/worksheet" Target="worksheets/sheet82.xml"/><Relationship Id="rId93" Type="http://schemas.openxmlformats.org/officeDocument/2006/relationships/worksheet" Target="worksheets/sheet90.xml"/><Relationship Id="rId98" Type="http://schemas.openxmlformats.org/officeDocument/2006/relationships/worksheet" Target="worksheets/sheet9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9.xml"/><Relationship Id="rId17" Type="http://schemas.openxmlformats.org/officeDocument/2006/relationships/worksheet" Target="worksheets/sheet14.xml"/><Relationship Id="rId25" Type="http://schemas.openxmlformats.org/officeDocument/2006/relationships/worksheet" Target="worksheets/sheet22.xml"/><Relationship Id="rId33" Type="http://schemas.openxmlformats.org/officeDocument/2006/relationships/worksheet" Target="worksheets/sheet30.xml"/><Relationship Id="rId38" Type="http://schemas.openxmlformats.org/officeDocument/2006/relationships/worksheet" Target="worksheets/sheet35.xml"/><Relationship Id="rId46" Type="http://schemas.openxmlformats.org/officeDocument/2006/relationships/worksheet" Target="worksheets/sheet43.xml"/><Relationship Id="rId59" Type="http://schemas.openxmlformats.org/officeDocument/2006/relationships/worksheet" Target="worksheets/sheet56.xml"/><Relationship Id="rId67" Type="http://schemas.openxmlformats.org/officeDocument/2006/relationships/worksheet" Target="worksheets/sheet64.xml"/><Relationship Id="rId103" Type="http://schemas.openxmlformats.org/officeDocument/2006/relationships/worksheet" Target="worksheets/sheet100.xml"/><Relationship Id="rId108" Type="http://schemas.openxmlformats.org/officeDocument/2006/relationships/theme" Target="theme/theme1.xml"/><Relationship Id="rId20" Type="http://schemas.openxmlformats.org/officeDocument/2006/relationships/worksheet" Target="worksheets/sheet17.xml"/><Relationship Id="rId41" Type="http://schemas.openxmlformats.org/officeDocument/2006/relationships/worksheet" Target="worksheets/sheet38.xml"/><Relationship Id="rId54" Type="http://schemas.openxmlformats.org/officeDocument/2006/relationships/worksheet" Target="worksheets/sheet51.xml"/><Relationship Id="rId62" Type="http://schemas.openxmlformats.org/officeDocument/2006/relationships/worksheet" Target="worksheets/sheet59.xml"/><Relationship Id="rId70" Type="http://schemas.openxmlformats.org/officeDocument/2006/relationships/worksheet" Target="worksheets/sheet67.xml"/><Relationship Id="rId75" Type="http://schemas.openxmlformats.org/officeDocument/2006/relationships/worksheet" Target="worksheets/sheet72.xml"/><Relationship Id="rId83" Type="http://schemas.openxmlformats.org/officeDocument/2006/relationships/worksheet" Target="worksheets/sheet80.xml"/><Relationship Id="rId88" Type="http://schemas.openxmlformats.org/officeDocument/2006/relationships/worksheet" Target="worksheets/sheet85.xml"/><Relationship Id="rId91" Type="http://schemas.openxmlformats.org/officeDocument/2006/relationships/worksheet" Target="worksheets/sheet88.xml"/><Relationship Id="rId96" Type="http://schemas.openxmlformats.org/officeDocument/2006/relationships/worksheet" Target="worksheets/sheet93.xml"/><Relationship Id="rId11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23" Type="http://schemas.openxmlformats.org/officeDocument/2006/relationships/worksheet" Target="worksheets/sheet20.xml"/><Relationship Id="rId28" Type="http://schemas.openxmlformats.org/officeDocument/2006/relationships/worksheet" Target="worksheets/sheet25.xml"/><Relationship Id="rId36" Type="http://schemas.openxmlformats.org/officeDocument/2006/relationships/worksheet" Target="worksheets/sheet33.xml"/><Relationship Id="rId49" Type="http://schemas.openxmlformats.org/officeDocument/2006/relationships/worksheet" Target="worksheets/sheet46.xml"/><Relationship Id="rId57" Type="http://schemas.openxmlformats.org/officeDocument/2006/relationships/worksheet" Target="worksheets/sheet54.xml"/><Relationship Id="rId106" Type="http://schemas.openxmlformats.org/officeDocument/2006/relationships/worksheet" Target="worksheets/sheet103.xml"/><Relationship Id="rId10" Type="http://schemas.openxmlformats.org/officeDocument/2006/relationships/chartsheet" Target="chartsheets/sheet2.xml"/><Relationship Id="rId31" Type="http://schemas.openxmlformats.org/officeDocument/2006/relationships/worksheet" Target="worksheets/sheet28.xml"/><Relationship Id="rId44" Type="http://schemas.openxmlformats.org/officeDocument/2006/relationships/worksheet" Target="worksheets/sheet41.xml"/><Relationship Id="rId52" Type="http://schemas.openxmlformats.org/officeDocument/2006/relationships/worksheet" Target="worksheets/sheet49.xml"/><Relationship Id="rId60" Type="http://schemas.openxmlformats.org/officeDocument/2006/relationships/worksheet" Target="worksheets/sheet57.xml"/><Relationship Id="rId65" Type="http://schemas.openxmlformats.org/officeDocument/2006/relationships/worksheet" Target="worksheets/sheet62.xml"/><Relationship Id="rId73" Type="http://schemas.openxmlformats.org/officeDocument/2006/relationships/worksheet" Target="worksheets/sheet70.xml"/><Relationship Id="rId78" Type="http://schemas.openxmlformats.org/officeDocument/2006/relationships/worksheet" Target="worksheets/sheet75.xml"/><Relationship Id="rId81" Type="http://schemas.openxmlformats.org/officeDocument/2006/relationships/worksheet" Target="worksheets/sheet78.xml"/><Relationship Id="rId86" Type="http://schemas.openxmlformats.org/officeDocument/2006/relationships/worksheet" Target="worksheets/sheet83.xml"/><Relationship Id="rId94" Type="http://schemas.openxmlformats.org/officeDocument/2006/relationships/worksheet" Target="worksheets/sheet91.xml"/><Relationship Id="rId99" Type="http://schemas.openxmlformats.org/officeDocument/2006/relationships/worksheet" Target="worksheets/sheet96.xml"/><Relationship Id="rId101" Type="http://schemas.openxmlformats.org/officeDocument/2006/relationships/worksheet" Target="worksheets/sheet98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1.xml"/><Relationship Id="rId13" Type="http://schemas.openxmlformats.org/officeDocument/2006/relationships/worksheet" Target="worksheets/sheet10.xml"/><Relationship Id="rId18" Type="http://schemas.openxmlformats.org/officeDocument/2006/relationships/worksheet" Target="worksheets/sheet15.xml"/><Relationship Id="rId39" Type="http://schemas.openxmlformats.org/officeDocument/2006/relationships/worksheet" Target="worksheets/sheet36.xml"/><Relationship Id="rId109" Type="http://schemas.openxmlformats.org/officeDocument/2006/relationships/styles" Target="styles.xml"/><Relationship Id="rId34" Type="http://schemas.openxmlformats.org/officeDocument/2006/relationships/worksheet" Target="worksheets/sheet31.xml"/><Relationship Id="rId50" Type="http://schemas.openxmlformats.org/officeDocument/2006/relationships/worksheet" Target="worksheets/sheet47.xml"/><Relationship Id="rId55" Type="http://schemas.openxmlformats.org/officeDocument/2006/relationships/worksheet" Target="worksheets/sheet52.xml"/><Relationship Id="rId76" Type="http://schemas.openxmlformats.org/officeDocument/2006/relationships/worksheet" Target="worksheets/sheet73.xml"/><Relationship Id="rId97" Type="http://schemas.openxmlformats.org/officeDocument/2006/relationships/worksheet" Target="worksheets/sheet94.xml"/><Relationship Id="rId104" Type="http://schemas.openxmlformats.org/officeDocument/2006/relationships/worksheet" Target="worksheets/sheet10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68.xml"/><Relationship Id="rId92" Type="http://schemas.openxmlformats.org/officeDocument/2006/relationships/worksheet" Target="worksheets/sheet89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autoTitleDeleted val="0"/>
    <c:plotArea>
      <c:layout>
        <c:manualLayout>
          <c:layoutTarget val="inner"/>
          <c:xMode val="edge"/>
          <c:yMode val="edge"/>
          <c:x val="0.10833333333333336"/>
          <c:y val="4.3771043771043766E-2"/>
          <c:w val="0.81979166666666758"/>
          <c:h val="0.82659932659932744"/>
        </c:manualLayout>
      </c:layout>
      <c:areaChart>
        <c:grouping val="stacked"/>
        <c:varyColors val="0"/>
        <c:ser>
          <c:idx val="2"/>
          <c:order val="2"/>
          <c:spPr>
            <a:noFill/>
            <a:ln w="12700">
              <a:solidFill>
                <a:srgbClr val="000000"/>
              </a:solidFill>
              <a:prstDash val="solid"/>
            </a:ln>
          </c:spPr>
          <c:cat>
            <c:numRef>
              <c:f>'Salida Recría'!$B$9:$B$28</c:f>
              <c:numCache>
                <c:formatCode>General</c:formatCode>
                <c:ptCount val="2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</c:numCache>
            </c:numRef>
          </c:cat>
          <c:val>
            <c:numRef>
              <c:f>'Salida Recría'!$P$9:$P$28</c:f>
              <c:numCache>
                <c:formatCode>0.0</c:formatCode>
                <c:ptCount val="20"/>
                <c:pt idx="0">
                  <c:v>72.75</c:v>
                </c:pt>
                <c:pt idx="1">
                  <c:v>126.1</c:v>
                </c:pt>
                <c:pt idx="2">
                  <c:v>189.15</c:v>
                </c:pt>
                <c:pt idx="3">
                  <c:v>266.75</c:v>
                </c:pt>
                <c:pt idx="4">
                  <c:v>355.99</c:v>
                </c:pt>
                <c:pt idx="5">
                  <c:v>460.75</c:v>
                </c:pt>
                <c:pt idx="6">
                  <c:v>565.51</c:v>
                </c:pt>
                <c:pt idx="7">
                  <c:v>664.45</c:v>
                </c:pt>
                <c:pt idx="8">
                  <c:v>758.54</c:v>
                </c:pt>
                <c:pt idx="9">
                  <c:v>847.78</c:v>
                </c:pt>
                <c:pt idx="10">
                  <c:v>932.17</c:v>
                </c:pt>
                <c:pt idx="11">
                  <c:v>1011.71</c:v>
                </c:pt>
                <c:pt idx="12">
                  <c:v>1089.31</c:v>
                </c:pt>
                <c:pt idx="13">
                  <c:v>1161.0899999999999</c:v>
                </c:pt>
                <c:pt idx="14">
                  <c:v>1226.08</c:v>
                </c:pt>
                <c:pt idx="15">
                  <c:v>1290.0999999999999</c:v>
                </c:pt>
                <c:pt idx="16">
                  <c:v>1358</c:v>
                </c:pt>
                <c:pt idx="17">
                  <c:v>1430.75</c:v>
                </c:pt>
                <c:pt idx="18">
                  <c:v>1508.35</c:v>
                </c:pt>
                <c:pt idx="19">
                  <c:v>1590.8</c:v>
                </c:pt>
              </c:numCache>
            </c:numRef>
          </c:val>
        </c:ser>
        <c:ser>
          <c:idx val="4"/>
          <c:order val="3"/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'Salida Recría'!$B$9:$B$28</c:f>
              <c:numCache>
                <c:formatCode>General</c:formatCode>
                <c:ptCount val="2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</c:numCache>
            </c:numRef>
          </c:cat>
          <c:val>
            <c:numRef>
              <c:f>'Salida Recría'!$R$9:$R$28</c:f>
              <c:numCache>
                <c:formatCode>0.0</c:formatCode>
                <c:ptCount val="20"/>
                <c:pt idx="0">
                  <c:v>4.5</c:v>
                </c:pt>
                <c:pt idx="1">
                  <c:v>7.8000000000000114</c:v>
                </c:pt>
                <c:pt idx="2">
                  <c:v>11.699999999999989</c:v>
                </c:pt>
                <c:pt idx="3">
                  <c:v>16.5</c:v>
                </c:pt>
                <c:pt idx="4">
                  <c:v>22.019999999999982</c:v>
                </c:pt>
                <c:pt idx="5">
                  <c:v>28.5</c:v>
                </c:pt>
                <c:pt idx="6">
                  <c:v>34.980000000000018</c:v>
                </c:pt>
                <c:pt idx="7">
                  <c:v>41.099999999999909</c:v>
                </c:pt>
                <c:pt idx="8">
                  <c:v>46.920000000000073</c:v>
                </c:pt>
                <c:pt idx="9">
                  <c:v>52.440000000000055</c:v>
                </c:pt>
                <c:pt idx="10">
                  <c:v>57.660000000000082</c:v>
                </c:pt>
                <c:pt idx="11">
                  <c:v>62.579999999999927</c:v>
                </c:pt>
                <c:pt idx="12">
                  <c:v>67.380000000000109</c:v>
                </c:pt>
                <c:pt idx="13">
                  <c:v>71.820000000000164</c:v>
                </c:pt>
                <c:pt idx="14">
                  <c:v>75.840000000000146</c:v>
                </c:pt>
                <c:pt idx="15">
                  <c:v>79.800000000000182</c:v>
                </c:pt>
                <c:pt idx="16">
                  <c:v>84</c:v>
                </c:pt>
                <c:pt idx="17">
                  <c:v>88.5</c:v>
                </c:pt>
                <c:pt idx="18">
                  <c:v>93.300000000000182</c:v>
                </c:pt>
                <c:pt idx="19">
                  <c:v>98.400000000000091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9003904"/>
        <c:axId val="129005824"/>
      </c:areaChart>
      <c:lineChart>
        <c:grouping val="standard"/>
        <c:varyColors val="0"/>
        <c:ser>
          <c:idx val="0"/>
          <c:order val="0"/>
          <c:tx>
            <c:strRef>
              <c:f>Traducción!$B$103</c:f>
              <c:strCache>
                <c:ptCount val="1"/>
                <c:pt idx="0">
                  <c:v>Peso Corporal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'Salida Recría'!$B$9:$B$28</c:f>
              <c:numCache>
                <c:formatCode>General</c:formatCode>
                <c:ptCount val="2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</c:numCache>
            </c:numRef>
          </c:cat>
          <c:val>
            <c:numRef>
              <c:f>'Salida Recría'!$H$9:$H$28</c:f>
              <c:numCache>
                <c:formatCode>[=0]\ ;0</c:formatCode>
                <c:ptCount val="20"/>
                <c:pt idx="0" formatCode="[=0]\ ;0.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03904"/>
        <c:axId val="129005824"/>
      </c:lineChart>
      <c:lineChart>
        <c:grouping val="standard"/>
        <c:varyColors val="0"/>
        <c:ser>
          <c:idx val="3"/>
          <c:order val="1"/>
          <c:tx>
            <c:strRef>
              <c:f>Traducción!$B$104</c:f>
              <c:strCache>
                <c:ptCount val="1"/>
                <c:pt idx="0">
                  <c:v>Mortalidad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'Salida Recría'!$B$9:$B$28</c:f>
              <c:numCache>
                <c:formatCode>General</c:formatCode>
                <c:ptCount val="2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</c:numCache>
            </c:numRef>
          </c:cat>
          <c:val>
            <c:numRef>
              <c:f>'Salida Recría'!$D$9:$D$28</c:f>
              <c:numCache>
                <c:formatCode>[=0]\ ;0.00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11712"/>
        <c:axId val="129013248"/>
      </c:lineChart>
      <c:catAx>
        <c:axId val="1290039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29005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005824"/>
        <c:scaling>
          <c:orientation val="minMax"/>
          <c:max val="2200"/>
          <c:min val="100"/>
        </c:scaling>
        <c:delete val="0"/>
        <c:axPos val="l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29003904"/>
        <c:crosses val="autoZero"/>
        <c:crossBetween val="midCat"/>
        <c:majorUnit val="100"/>
      </c:valAx>
      <c:catAx>
        <c:axId val="129011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9013248"/>
        <c:crosses val="autoZero"/>
        <c:auto val="0"/>
        <c:lblAlgn val="ctr"/>
        <c:lblOffset val="100"/>
        <c:noMultiLvlLbl val="0"/>
      </c:catAx>
      <c:valAx>
        <c:axId val="129013248"/>
        <c:scaling>
          <c:orientation val="minMax"/>
        </c:scaling>
        <c:delete val="0"/>
        <c:axPos val="r"/>
        <c:numFmt formatCode="[=0]\ ;0.0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29011712"/>
        <c:crosses val="max"/>
        <c:crossBetween val="midCat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ayout>
        <c:manualLayout>
          <c:xMode val="edge"/>
          <c:yMode val="edge"/>
          <c:x val="0.34375"/>
          <c:y val="0.95286195286195252"/>
          <c:w val="0.27812500000000007"/>
          <c:h val="4.040404040404046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AR"/>
        </a:p>
      </c:txPr>
    </c:legend>
    <c:plotVisOnly val="1"/>
    <c:dispBlanksAs val="span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autoTitleDeleted val="0"/>
    <c:plotArea>
      <c:layout>
        <c:manualLayout>
          <c:layoutTarget val="inner"/>
          <c:xMode val="edge"/>
          <c:yMode val="edge"/>
          <c:x val="0.10581944444444444"/>
          <c:y val="8.5858585858585856E-2"/>
          <c:w val="0.87812500000000104"/>
          <c:h val="0.78114478114478114"/>
        </c:manualLayout>
      </c:layout>
      <c:areaChart>
        <c:grouping val="stacked"/>
        <c:varyColors val="0"/>
        <c:ser>
          <c:idx val="0"/>
          <c:order val="0"/>
          <c:tx>
            <c:strRef>
              <c:f>'Salida Prod'!$V$10</c:f>
              <c:strCache>
                <c:ptCount val="1"/>
                <c:pt idx="0">
                  <c:v>Schatten</c:v>
                </c:pt>
              </c:strCache>
            </c:strRef>
          </c:tx>
          <c:spPr>
            <a:noFill/>
            <a:ln w="12700">
              <a:solidFill>
                <a:srgbClr val="000000"/>
              </a:solidFill>
              <a:prstDash val="solid"/>
            </a:ln>
          </c:spP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Prod'!$V$14:$V$91</c:f>
              <c:numCache>
                <c:formatCode>0.00</c:formatCode>
                <c:ptCount val="78"/>
                <c:pt idx="1">
                  <c:v>9.3093093093093096</c:v>
                </c:pt>
                <c:pt idx="2">
                  <c:v>41.891891891891888</c:v>
                </c:pt>
                <c:pt idx="3">
                  <c:v>60.571142284569127</c:v>
                </c:pt>
                <c:pt idx="4">
                  <c:v>74.623871614844532</c:v>
                </c:pt>
                <c:pt idx="5">
                  <c:v>82.168674698795172</c:v>
                </c:pt>
                <c:pt idx="6">
                  <c:v>85.522613065326638</c:v>
                </c:pt>
                <c:pt idx="7">
                  <c:v>86.544265593561363</c:v>
                </c:pt>
                <c:pt idx="8">
                  <c:v>87.193353474320233</c:v>
                </c:pt>
                <c:pt idx="9">
                  <c:v>87.65625</c:v>
                </c:pt>
                <c:pt idx="10">
                  <c:v>88.026236125126175</c:v>
                </c:pt>
                <c:pt idx="11">
                  <c:v>88.321818181818216</c:v>
                </c:pt>
                <c:pt idx="12">
                  <c:v>88.505156723963651</c:v>
                </c:pt>
                <c:pt idx="13">
                  <c:v>88.59473684210532</c:v>
                </c:pt>
                <c:pt idx="14">
                  <c:v>88.637386018237152</c:v>
                </c:pt>
                <c:pt idx="15">
                  <c:v>88.632961460446325</c:v>
                </c:pt>
                <c:pt idx="16">
                  <c:v>88.581319796954404</c:v>
                </c:pt>
                <c:pt idx="17">
                  <c:v>88.482317073170819</c:v>
                </c:pt>
                <c:pt idx="18">
                  <c:v>88.335808748728482</c:v>
                </c:pt>
                <c:pt idx="19">
                  <c:v>88.141649694501112</c:v>
                </c:pt>
                <c:pt idx="20">
                  <c:v>87.899694189602556</c:v>
                </c:pt>
                <c:pt idx="21">
                  <c:v>87.657244897959316</c:v>
                </c:pt>
                <c:pt idx="22">
                  <c:v>87.41430030643528</c:v>
                </c:pt>
                <c:pt idx="23">
                  <c:v>87.170858895705678</c:v>
                </c:pt>
                <c:pt idx="24">
                  <c:v>86.926919140225337</c:v>
                </c:pt>
                <c:pt idx="25">
                  <c:v>86.682479508196906</c:v>
                </c:pt>
                <c:pt idx="26">
                  <c:v>86.389846153846335</c:v>
                </c:pt>
                <c:pt idx="27">
                  <c:v>86.096611909651102</c:v>
                </c:pt>
                <c:pt idx="28">
                  <c:v>85.802774922918999</c:v>
                </c:pt>
                <c:pt idx="29">
                  <c:v>85.508333333333525</c:v>
                </c:pt>
                <c:pt idx="30">
                  <c:v>85.213285272914703</c:v>
                </c:pt>
                <c:pt idx="31">
                  <c:v>84.917628865979566</c:v>
                </c:pt>
                <c:pt idx="32">
                  <c:v>84.525386996904231</c:v>
                </c:pt>
                <c:pt idx="33">
                  <c:v>84.132334710744004</c:v>
                </c:pt>
                <c:pt idx="34">
                  <c:v>83.738469493278387</c:v>
                </c:pt>
                <c:pt idx="35">
                  <c:v>83.343788819875996</c:v>
                </c:pt>
                <c:pt idx="36">
                  <c:v>82.948290155440631</c:v>
                </c:pt>
                <c:pt idx="37">
                  <c:v>82.551970954357088</c:v>
                </c:pt>
                <c:pt idx="38">
                  <c:v>82.106542056075</c:v>
                </c:pt>
                <c:pt idx="39">
                  <c:v>81.660187110187366</c:v>
                </c:pt>
                <c:pt idx="40">
                  <c:v>81.212903225806713</c:v>
                </c:pt>
                <c:pt idx="41">
                  <c:v>80.716250000000272</c:v>
                </c:pt>
                <c:pt idx="42">
                  <c:v>80.218561001043042</c:v>
                </c:pt>
                <c:pt idx="43">
                  <c:v>79.719832985386518</c:v>
                </c:pt>
                <c:pt idx="44">
                  <c:v>79.220062695925066</c:v>
                </c:pt>
                <c:pt idx="45">
                  <c:v>78.719246861925001</c:v>
                </c:pt>
                <c:pt idx="46">
                  <c:v>78.217382198953203</c:v>
                </c:pt>
                <c:pt idx="47">
                  <c:v>77.714465408805381</c:v>
                </c:pt>
                <c:pt idx="48">
                  <c:v>77.210493179433712</c:v>
                </c:pt>
                <c:pt idx="49">
                  <c:v>76.705462184874307</c:v>
                </c:pt>
                <c:pt idx="50">
                  <c:v>76.199369085173871</c:v>
                </c:pt>
                <c:pt idx="51">
                  <c:v>75.69221052631616</c:v>
                </c:pt>
                <c:pt idx="52">
                  <c:v>75.183983140147902</c:v>
                </c:pt>
                <c:pt idx="53">
                  <c:v>74.674683544304202</c:v>
                </c:pt>
                <c:pt idx="54">
                  <c:v>74.164308342133467</c:v>
                </c:pt>
                <c:pt idx="55">
                  <c:v>73.652854122621989</c:v>
                </c:pt>
                <c:pt idx="56">
                  <c:v>73.140317460317888</c:v>
                </c:pt>
                <c:pt idx="57">
                  <c:v>72.626694915254674</c:v>
                </c:pt>
                <c:pt idx="58">
                  <c:v>72.111983032874249</c:v>
                </c:pt>
                <c:pt idx="59">
                  <c:v>71.596178343949504</c:v>
                </c:pt>
                <c:pt idx="60">
                  <c:v>71.079277364506311</c:v>
                </c:pt>
                <c:pt idx="61">
                  <c:v>70.56127659574517</c:v>
                </c:pt>
                <c:pt idx="62">
                  <c:v>70.042172523962151</c:v>
                </c:pt>
                <c:pt idx="63">
                  <c:v>69.521961620469213</c:v>
                </c:pt>
                <c:pt idx="64">
                  <c:v>69.000640341515236</c:v>
                </c:pt>
                <c:pt idx="65">
                  <c:v>68.478205128204522</c:v>
                </c:pt>
                <c:pt idx="66">
                  <c:v>67.954652406416159</c:v>
                </c:pt>
                <c:pt idx="67">
                  <c:v>67.429978586722456</c:v>
                </c:pt>
                <c:pt idx="68">
                  <c:v>66.904180064307042</c:v>
                </c:pt>
                <c:pt idx="69">
                  <c:v>66.377253218882132</c:v>
                </c:pt>
                <c:pt idx="70">
                  <c:v>65.84919441460562</c:v>
                </c:pt>
                <c:pt idx="71">
                  <c:v>65.319999999997336</c:v>
                </c:pt>
                <c:pt idx="72">
                  <c:v>64.78966630785493</c:v>
                </c:pt>
                <c:pt idx="73">
                  <c:v>64.258189655169119</c:v>
                </c:pt>
                <c:pt idx="74">
                  <c:v>63.725566343038444</c:v>
                </c:pt>
                <c:pt idx="75">
                  <c:v>63.191792656583537</c:v>
                </c:pt>
                <c:pt idx="76">
                  <c:v>62.656864864860609</c:v>
                </c:pt>
                <c:pt idx="77">
                  <c:v>62.120779220774665</c:v>
                </c:pt>
              </c:numCache>
            </c:numRef>
          </c:val>
        </c:ser>
        <c:ser>
          <c:idx val="1"/>
          <c:order val="1"/>
          <c:tx>
            <c:strRef>
              <c:f>'Salida Prod'!$W$10</c:f>
              <c:strCache>
                <c:ptCount val="1"/>
                <c:pt idx="0">
                  <c:v>Prod</c:v>
                </c:pt>
              </c:strCache>
            </c:strRef>
          </c:tx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Prod'!$W$14:$W$91</c:f>
              <c:numCache>
                <c:formatCode>0.00</c:formatCode>
                <c:ptCount val="78"/>
                <c:pt idx="1">
                  <c:v>1.0010010010010006</c:v>
                </c:pt>
                <c:pt idx="2">
                  <c:v>4.50450450450451</c:v>
                </c:pt>
                <c:pt idx="3">
                  <c:v>6.513026052104216</c:v>
                </c:pt>
                <c:pt idx="4">
                  <c:v>8.024072216649941</c:v>
                </c:pt>
                <c:pt idx="5">
                  <c:v>8.8353413654618436</c:v>
                </c:pt>
                <c:pt idx="6">
                  <c:v>9.1959798994974875</c:v>
                </c:pt>
                <c:pt idx="7">
                  <c:v>9.3058350100603633</c:v>
                </c:pt>
                <c:pt idx="8">
                  <c:v>9.3756294058408827</c:v>
                </c:pt>
                <c:pt idx="9">
                  <c:v>9.4254032258064484</c:v>
                </c:pt>
                <c:pt idx="10">
                  <c:v>9.4651866801210929</c:v>
                </c:pt>
                <c:pt idx="11">
                  <c:v>9.4969696969696997</c:v>
                </c:pt>
                <c:pt idx="12">
                  <c:v>9.5166835187057615</c:v>
                </c:pt>
                <c:pt idx="13">
                  <c:v>9.5263157894736992</c:v>
                </c:pt>
                <c:pt idx="14">
                  <c:v>9.5309017223910928</c:v>
                </c:pt>
                <c:pt idx="15">
                  <c:v>9.5304259634888524</c:v>
                </c:pt>
                <c:pt idx="16">
                  <c:v>9.5248730964467114</c:v>
                </c:pt>
                <c:pt idx="17">
                  <c:v>9.5142276422764382</c:v>
                </c:pt>
                <c:pt idx="18">
                  <c:v>9.4984740590030583</c:v>
                </c:pt>
                <c:pt idx="19">
                  <c:v>9.4775967413442146</c:v>
                </c:pt>
                <c:pt idx="20">
                  <c:v>9.4515800203873823</c:v>
                </c:pt>
                <c:pt idx="21">
                  <c:v>9.4255102040816467</c:v>
                </c:pt>
                <c:pt idx="22">
                  <c:v>9.399387129724218</c:v>
                </c:pt>
                <c:pt idx="23">
                  <c:v>9.3732106339468544</c:v>
                </c:pt>
                <c:pt idx="24">
                  <c:v>9.3469805527124095</c:v>
                </c:pt>
                <c:pt idx="25">
                  <c:v>9.3206967213114922</c:v>
                </c:pt>
                <c:pt idx="26">
                  <c:v>9.2892307692307838</c:v>
                </c:pt>
                <c:pt idx="27">
                  <c:v>9.2577002053388355</c:v>
                </c:pt>
                <c:pt idx="28">
                  <c:v>9.2261048304213915</c:v>
                </c:pt>
                <c:pt idx="29">
                  <c:v>9.1944444444444713</c:v>
                </c:pt>
                <c:pt idx="30">
                  <c:v>9.1627188465499785</c:v>
                </c:pt>
                <c:pt idx="31">
                  <c:v>9.1309278350515797</c:v>
                </c:pt>
                <c:pt idx="32">
                  <c:v>9.0887512899897018</c:v>
                </c:pt>
                <c:pt idx="33">
                  <c:v>9.0464876033058204</c:v>
                </c:pt>
                <c:pt idx="34">
                  <c:v>9.0041365046535873</c:v>
                </c:pt>
                <c:pt idx="35">
                  <c:v>8.9616977225673082</c:v>
                </c:pt>
                <c:pt idx="36">
                  <c:v>8.9191709844559881</c:v>
                </c:pt>
                <c:pt idx="37">
                  <c:v>8.876556016597533</c:v>
                </c:pt>
                <c:pt idx="38">
                  <c:v>8.8286604361370991</c:v>
                </c:pt>
                <c:pt idx="39">
                  <c:v>8.7806652806653034</c:v>
                </c:pt>
                <c:pt idx="40">
                  <c:v>8.7325702393340521</c:v>
                </c:pt>
                <c:pt idx="41">
                  <c:v>8.6791666666666885</c:v>
                </c:pt>
                <c:pt idx="42">
                  <c:v>8.6256517205422654</c:v>
                </c:pt>
                <c:pt idx="43">
                  <c:v>8.5720250521921031</c:v>
                </c:pt>
                <c:pt idx="44">
                  <c:v>8.5182863113898009</c:v>
                </c:pt>
                <c:pt idx="45">
                  <c:v>8.4644351464435488</c:v>
                </c:pt>
                <c:pt idx="46">
                  <c:v>8.4104712041885108</c:v>
                </c:pt>
                <c:pt idx="47">
                  <c:v>8.3563941299790656</c:v>
                </c:pt>
                <c:pt idx="48">
                  <c:v>8.3022035676810475</c:v>
                </c:pt>
                <c:pt idx="49">
                  <c:v>8.247899159663902</c:v>
                </c:pt>
                <c:pt idx="50">
                  <c:v>8.1934805467928982</c:v>
                </c:pt>
                <c:pt idx="51">
                  <c:v>8.1389473684210998</c:v>
                </c:pt>
                <c:pt idx="52">
                  <c:v>8.0842992623814922</c:v>
                </c:pt>
                <c:pt idx="53">
                  <c:v>8.0295358649789392</c:v>
                </c:pt>
                <c:pt idx="54">
                  <c:v>7.9746568109820828</c:v>
                </c:pt>
                <c:pt idx="55">
                  <c:v>7.919661733615257</c:v>
                </c:pt>
                <c:pt idx="56">
                  <c:v>7.8645502645503029</c:v>
                </c:pt>
                <c:pt idx="57">
                  <c:v>7.8093220338983542</c:v>
                </c:pt>
                <c:pt idx="58">
                  <c:v>7.7539766702015385</c:v>
                </c:pt>
                <c:pt idx="59">
                  <c:v>7.6985138004246778</c:v>
                </c:pt>
                <c:pt idx="60">
                  <c:v>7.6429330499469188</c:v>
                </c:pt>
                <c:pt idx="61">
                  <c:v>7.5872340425532485</c:v>
                </c:pt>
                <c:pt idx="62">
                  <c:v>7.5314164004260391</c:v>
                </c:pt>
                <c:pt idx="63">
                  <c:v>7.4754797441364786</c:v>
                </c:pt>
                <c:pt idx="64">
                  <c:v>7.4194236926360588</c:v>
                </c:pt>
                <c:pt idx="65">
                  <c:v>7.3632478632478069</c:v>
                </c:pt>
                <c:pt idx="66">
                  <c:v>7.3069518716576454</c:v>
                </c:pt>
                <c:pt idx="67">
                  <c:v>7.2505353319056525</c:v>
                </c:pt>
                <c:pt idx="68">
                  <c:v>7.193997856377095</c:v>
                </c:pt>
                <c:pt idx="69">
                  <c:v>7.1373390557937881</c:v>
                </c:pt>
                <c:pt idx="70">
                  <c:v>7.0805585392049011</c:v>
                </c:pt>
                <c:pt idx="71">
                  <c:v>7.0236559139782173</c:v>
                </c:pt>
                <c:pt idx="72">
                  <c:v>6.9666307857908407</c:v>
                </c:pt>
                <c:pt idx="73">
                  <c:v>6.909482758620328</c:v>
                </c:pt>
                <c:pt idx="74">
                  <c:v>6.8522114347353167</c:v>
                </c:pt>
                <c:pt idx="75">
                  <c:v>6.7948164146864016</c:v>
                </c:pt>
                <c:pt idx="76">
                  <c:v>6.7372972972968341</c:v>
                </c:pt>
                <c:pt idx="77">
                  <c:v>6.6796536796531853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528192"/>
        <c:axId val="133554560"/>
      </c:areaChart>
      <c:lineChart>
        <c:grouping val="standard"/>
        <c:varyColors val="0"/>
        <c:ser>
          <c:idx val="2"/>
          <c:order val="2"/>
          <c:tx>
            <c:strRef>
              <c:f>'Salida Prod'!$D$10</c:f>
              <c:strCache>
                <c:ptCount val="1"/>
                <c:pt idx="0">
                  <c:v>Viabilidad Estándar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Prod'!$D$14:$D$91</c:f>
              <c:numCache>
                <c:formatCode>0.0</c:formatCode>
                <c:ptCount val="78"/>
                <c:pt idx="1">
                  <c:v>99.9</c:v>
                </c:pt>
                <c:pt idx="2">
                  <c:v>99.9</c:v>
                </c:pt>
                <c:pt idx="3">
                  <c:v>99.800000000000011</c:v>
                </c:pt>
                <c:pt idx="4">
                  <c:v>99.7</c:v>
                </c:pt>
                <c:pt idx="5">
                  <c:v>99.600000000000009</c:v>
                </c:pt>
                <c:pt idx="6">
                  <c:v>99.5</c:v>
                </c:pt>
                <c:pt idx="7">
                  <c:v>99.4</c:v>
                </c:pt>
                <c:pt idx="8">
                  <c:v>99.3</c:v>
                </c:pt>
                <c:pt idx="9">
                  <c:v>99.2</c:v>
                </c:pt>
                <c:pt idx="10">
                  <c:v>99.099999999999952</c:v>
                </c:pt>
                <c:pt idx="11">
                  <c:v>98.999999999999957</c:v>
                </c:pt>
                <c:pt idx="12">
                  <c:v>98.899999999999949</c:v>
                </c:pt>
                <c:pt idx="13">
                  <c:v>98.79999999999994</c:v>
                </c:pt>
                <c:pt idx="14">
                  <c:v>98.699999999999918</c:v>
                </c:pt>
                <c:pt idx="15">
                  <c:v>98.599999999999909</c:v>
                </c:pt>
                <c:pt idx="16">
                  <c:v>98.499999999999901</c:v>
                </c:pt>
                <c:pt idx="17">
                  <c:v>98.399999999999892</c:v>
                </c:pt>
                <c:pt idx="18">
                  <c:v>98.299999999999898</c:v>
                </c:pt>
                <c:pt idx="19">
                  <c:v>98.199999999999889</c:v>
                </c:pt>
                <c:pt idx="20">
                  <c:v>98.099999999999866</c:v>
                </c:pt>
                <c:pt idx="21">
                  <c:v>97.999999999999858</c:v>
                </c:pt>
                <c:pt idx="22">
                  <c:v>97.899999999999835</c:v>
                </c:pt>
                <c:pt idx="23">
                  <c:v>97.799999999999827</c:v>
                </c:pt>
                <c:pt idx="24">
                  <c:v>97.699999999999804</c:v>
                </c:pt>
                <c:pt idx="25">
                  <c:v>97.599999999999795</c:v>
                </c:pt>
                <c:pt idx="26">
                  <c:v>97.499999999999801</c:v>
                </c:pt>
                <c:pt idx="27">
                  <c:v>97.399999999999793</c:v>
                </c:pt>
                <c:pt idx="28">
                  <c:v>97.299999999999784</c:v>
                </c:pt>
                <c:pt idx="29">
                  <c:v>97.19999999999979</c:v>
                </c:pt>
                <c:pt idx="30">
                  <c:v>97.099999999999781</c:v>
                </c:pt>
                <c:pt idx="31">
                  <c:v>96.999999999999773</c:v>
                </c:pt>
                <c:pt idx="32">
                  <c:v>96.899999999999764</c:v>
                </c:pt>
                <c:pt idx="33">
                  <c:v>96.799999999999756</c:v>
                </c:pt>
                <c:pt idx="34">
                  <c:v>96.699999999999747</c:v>
                </c:pt>
                <c:pt idx="35">
                  <c:v>96.599999999999739</c:v>
                </c:pt>
                <c:pt idx="36">
                  <c:v>96.49999999999973</c:v>
                </c:pt>
                <c:pt idx="37">
                  <c:v>96.399999999999721</c:v>
                </c:pt>
                <c:pt idx="38">
                  <c:v>96.299999999999713</c:v>
                </c:pt>
                <c:pt idx="39">
                  <c:v>96.199999999999704</c:v>
                </c:pt>
                <c:pt idx="40">
                  <c:v>96.099999999999696</c:v>
                </c:pt>
                <c:pt idx="41">
                  <c:v>95.999999999999673</c:v>
                </c:pt>
                <c:pt idx="42">
                  <c:v>95.89999999999965</c:v>
                </c:pt>
                <c:pt idx="43">
                  <c:v>95.799999999999656</c:v>
                </c:pt>
                <c:pt idx="44">
                  <c:v>95.699999999999633</c:v>
                </c:pt>
                <c:pt idx="45">
                  <c:v>95.599999999999625</c:v>
                </c:pt>
                <c:pt idx="46">
                  <c:v>95.499999999999602</c:v>
                </c:pt>
                <c:pt idx="47">
                  <c:v>95.399999999999579</c:v>
                </c:pt>
                <c:pt idx="48">
                  <c:v>95.299999999999571</c:v>
                </c:pt>
                <c:pt idx="49">
                  <c:v>95.199999999999633</c:v>
                </c:pt>
                <c:pt idx="50">
                  <c:v>95.099999999999611</c:v>
                </c:pt>
                <c:pt idx="51">
                  <c:v>94.999999999999602</c:v>
                </c:pt>
                <c:pt idx="52">
                  <c:v>94.899999999999608</c:v>
                </c:pt>
                <c:pt idx="53">
                  <c:v>94.799999999999585</c:v>
                </c:pt>
                <c:pt idx="54">
                  <c:v>94.699999999999577</c:v>
                </c:pt>
                <c:pt idx="55">
                  <c:v>94.599999999999568</c:v>
                </c:pt>
                <c:pt idx="56">
                  <c:v>94.499999999999574</c:v>
                </c:pt>
                <c:pt idx="57">
                  <c:v>94.399999999999551</c:v>
                </c:pt>
                <c:pt idx="58">
                  <c:v>94.299999999999557</c:v>
                </c:pt>
                <c:pt idx="59">
                  <c:v>94.199999999999534</c:v>
                </c:pt>
                <c:pt idx="60">
                  <c:v>94.099999999999525</c:v>
                </c:pt>
                <c:pt idx="61">
                  <c:v>93.999999999999503</c:v>
                </c:pt>
                <c:pt idx="62">
                  <c:v>93.899999999999523</c:v>
                </c:pt>
                <c:pt idx="63">
                  <c:v>93.800000000000011</c:v>
                </c:pt>
                <c:pt idx="64">
                  <c:v>93.7000000000005</c:v>
                </c:pt>
                <c:pt idx="65">
                  <c:v>93.600000000001017</c:v>
                </c:pt>
                <c:pt idx="66">
                  <c:v>93.500000000001521</c:v>
                </c:pt>
                <c:pt idx="67">
                  <c:v>93.400000000002024</c:v>
                </c:pt>
                <c:pt idx="68">
                  <c:v>93.300000000002512</c:v>
                </c:pt>
                <c:pt idx="69">
                  <c:v>93.200000000003016</c:v>
                </c:pt>
                <c:pt idx="70">
                  <c:v>93.100000000003533</c:v>
                </c:pt>
                <c:pt idx="71">
                  <c:v>93.000000000004036</c:v>
                </c:pt>
                <c:pt idx="72">
                  <c:v>92.900000000004539</c:v>
                </c:pt>
                <c:pt idx="73">
                  <c:v>92.800000000005028</c:v>
                </c:pt>
                <c:pt idx="74">
                  <c:v>92.700000000005545</c:v>
                </c:pt>
                <c:pt idx="75">
                  <c:v>92.600000000006048</c:v>
                </c:pt>
                <c:pt idx="76">
                  <c:v>92.500000000006551</c:v>
                </c:pt>
                <c:pt idx="77">
                  <c:v>92.400000000007054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'Salida Prod'!$L$10</c:f>
              <c:strCache>
                <c:ptCount val="1"/>
                <c:pt idx="0">
                  <c:v>Estándar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Prod'!$L$14:$L$91</c:f>
              <c:numCache>
                <c:formatCode>0.0</c:formatCode>
                <c:ptCount val="78"/>
                <c:pt idx="1">
                  <c:v>45</c:v>
                </c:pt>
                <c:pt idx="2">
                  <c:v>47.5</c:v>
                </c:pt>
                <c:pt idx="3">
                  <c:v>50</c:v>
                </c:pt>
                <c:pt idx="4">
                  <c:v>52.5</c:v>
                </c:pt>
                <c:pt idx="5">
                  <c:v>54.7</c:v>
                </c:pt>
                <c:pt idx="6">
                  <c:v>56.5</c:v>
                </c:pt>
                <c:pt idx="7">
                  <c:v>57.9</c:v>
                </c:pt>
                <c:pt idx="8">
                  <c:v>58.9</c:v>
                </c:pt>
                <c:pt idx="9">
                  <c:v>59.7</c:v>
                </c:pt>
                <c:pt idx="10">
                  <c:v>60.4</c:v>
                </c:pt>
                <c:pt idx="11">
                  <c:v>61</c:v>
                </c:pt>
                <c:pt idx="12">
                  <c:v>61.4</c:v>
                </c:pt>
                <c:pt idx="13">
                  <c:v>61.7</c:v>
                </c:pt>
                <c:pt idx="14">
                  <c:v>62</c:v>
                </c:pt>
                <c:pt idx="15">
                  <c:v>62.3</c:v>
                </c:pt>
                <c:pt idx="16">
                  <c:v>62.6</c:v>
                </c:pt>
                <c:pt idx="17">
                  <c:v>62.9</c:v>
                </c:pt>
                <c:pt idx="18">
                  <c:v>63.15</c:v>
                </c:pt>
                <c:pt idx="19">
                  <c:v>63.4</c:v>
                </c:pt>
                <c:pt idx="20">
                  <c:v>63.65</c:v>
                </c:pt>
                <c:pt idx="21">
                  <c:v>63.9</c:v>
                </c:pt>
                <c:pt idx="22">
                  <c:v>64.150000000000006</c:v>
                </c:pt>
                <c:pt idx="23">
                  <c:v>64.349999999999994</c:v>
                </c:pt>
                <c:pt idx="24">
                  <c:v>64.55</c:v>
                </c:pt>
                <c:pt idx="25">
                  <c:v>64.749999999999943</c:v>
                </c:pt>
                <c:pt idx="26">
                  <c:v>64.949999999999932</c:v>
                </c:pt>
                <c:pt idx="27">
                  <c:v>65.14999999999992</c:v>
                </c:pt>
                <c:pt idx="28">
                  <c:v>65.349999999999909</c:v>
                </c:pt>
                <c:pt idx="29">
                  <c:v>65.549999999999898</c:v>
                </c:pt>
                <c:pt idx="30">
                  <c:v>65.699999999999903</c:v>
                </c:pt>
                <c:pt idx="31">
                  <c:v>65.849999999999909</c:v>
                </c:pt>
                <c:pt idx="32">
                  <c:v>65.999999999999915</c:v>
                </c:pt>
                <c:pt idx="33">
                  <c:v>66.14999999999992</c:v>
                </c:pt>
                <c:pt idx="34">
                  <c:v>66.299999999999926</c:v>
                </c:pt>
                <c:pt idx="35">
                  <c:v>66.449999999999932</c:v>
                </c:pt>
                <c:pt idx="36">
                  <c:v>66.549999999999926</c:v>
                </c:pt>
                <c:pt idx="37">
                  <c:v>66.64999999999992</c:v>
                </c:pt>
                <c:pt idx="38">
                  <c:v>66.749999999999915</c:v>
                </c:pt>
                <c:pt idx="39">
                  <c:v>66.849999999999909</c:v>
                </c:pt>
                <c:pt idx="40">
                  <c:v>66.949999999999903</c:v>
                </c:pt>
                <c:pt idx="41">
                  <c:v>67.049999999999898</c:v>
                </c:pt>
                <c:pt idx="42">
                  <c:v>67.149999999999892</c:v>
                </c:pt>
                <c:pt idx="43">
                  <c:v>67.249999999999886</c:v>
                </c:pt>
                <c:pt idx="44">
                  <c:v>67.349999999999881</c:v>
                </c:pt>
                <c:pt idx="45">
                  <c:v>67.449999999999875</c:v>
                </c:pt>
                <c:pt idx="46">
                  <c:v>67.549999999999869</c:v>
                </c:pt>
                <c:pt idx="47">
                  <c:v>67.649999999999864</c:v>
                </c:pt>
                <c:pt idx="48">
                  <c:v>67.749999999999858</c:v>
                </c:pt>
                <c:pt idx="49">
                  <c:v>67.849999999999852</c:v>
                </c:pt>
                <c:pt idx="50">
                  <c:v>67.949999999999847</c:v>
                </c:pt>
                <c:pt idx="51">
                  <c:v>68.049999999999841</c:v>
                </c:pt>
                <c:pt idx="52">
                  <c:v>68.149999999999835</c:v>
                </c:pt>
                <c:pt idx="53">
                  <c:v>68.249999999999829</c:v>
                </c:pt>
                <c:pt idx="54">
                  <c:v>68.299999999999827</c:v>
                </c:pt>
                <c:pt idx="55">
                  <c:v>68.349999999999824</c:v>
                </c:pt>
                <c:pt idx="56">
                  <c:v>68.399999999999821</c:v>
                </c:pt>
                <c:pt idx="57">
                  <c:v>68.449999999999818</c:v>
                </c:pt>
                <c:pt idx="58">
                  <c:v>68.499999999999815</c:v>
                </c:pt>
                <c:pt idx="59">
                  <c:v>68.549999999999812</c:v>
                </c:pt>
                <c:pt idx="60">
                  <c:v>68.59999999999981</c:v>
                </c:pt>
                <c:pt idx="61">
                  <c:v>68.649999999999807</c:v>
                </c:pt>
                <c:pt idx="62">
                  <c:v>68.699999999999804</c:v>
                </c:pt>
                <c:pt idx="63">
                  <c:v>68.749999999999801</c:v>
                </c:pt>
                <c:pt idx="64">
                  <c:v>68.799999999999798</c:v>
                </c:pt>
                <c:pt idx="65">
                  <c:v>68.849999999999795</c:v>
                </c:pt>
                <c:pt idx="66">
                  <c:v>68.899999999999793</c:v>
                </c:pt>
                <c:pt idx="67">
                  <c:v>68.94999999999979</c:v>
                </c:pt>
                <c:pt idx="68">
                  <c:v>68.999999999999787</c:v>
                </c:pt>
                <c:pt idx="69">
                  <c:v>69.049999999999784</c:v>
                </c:pt>
                <c:pt idx="70">
                  <c:v>69.099999999999781</c:v>
                </c:pt>
                <c:pt idx="71">
                  <c:v>69.149999999999778</c:v>
                </c:pt>
                <c:pt idx="72">
                  <c:v>69.199999999999775</c:v>
                </c:pt>
                <c:pt idx="73">
                  <c:v>69.249999999999773</c:v>
                </c:pt>
                <c:pt idx="74">
                  <c:v>69.29999999999977</c:v>
                </c:pt>
                <c:pt idx="75">
                  <c:v>69.349999999999767</c:v>
                </c:pt>
                <c:pt idx="76">
                  <c:v>69.399999999999764</c:v>
                </c:pt>
                <c:pt idx="77">
                  <c:v>69.449999999999761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Traducción!$B$92</c:f>
              <c:strCache>
                <c:ptCount val="1"/>
                <c:pt idx="0">
                  <c:v>Producción de Huevos</c:v>
                </c:pt>
              </c:strCache>
            </c:strRef>
          </c:tx>
          <c:spPr>
            <a:ln w="25400">
              <a:solidFill>
                <a:srgbClr val="0080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Prod'!$E$14:$E$91</c:f>
              <c:numCache>
                <c:formatCode>[=0]\ ;[Red][&gt;=90]0.0;0.0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Traducción!$B$61</c:f>
              <c:strCache>
                <c:ptCount val="1"/>
                <c:pt idx="0">
                  <c:v>Peso de Huevo</c:v>
                </c:pt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Prod'!$K$14:$K$91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Traducción!$B$66</c:f>
              <c:strCache>
                <c:ptCount val="1"/>
                <c:pt idx="0">
                  <c:v>Viabilidad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Prod'!$C$14:$C$91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Traducción!$B$62</c:f>
              <c:strCache>
                <c:ptCount val="1"/>
                <c:pt idx="0">
                  <c:v>Masa de Huevo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Prod'!$O$14:$O$91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8"/>
          <c:order val="8"/>
          <c:spPr>
            <a:ln w="12700">
              <a:solidFill>
                <a:srgbClr val="808080"/>
              </a:solidFill>
              <a:prstDash val="lgDash"/>
            </a:ln>
          </c:spPr>
          <c:marker>
            <c:symbol val="none"/>
          </c:marker>
          <c:cat>
            <c:numRef>
              <c:f>'Salida Prod'!$A$14:$A$91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Prod'!$F$14:$F$91</c:f>
              <c:numCache>
                <c:formatCode>0.0</c:formatCode>
                <c:ptCount val="78"/>
                <c:pt idx="1">
                  <c:v>10.01001001001001</c:v>
                </c:pt>
                <c:pt idx="2">
                  <c:v>45.045045045045043</c:v>
                </c:pt>
                <c:pt idx="3">
                  <c:v>65.130260521042075</c:v>
                </c:pt>
                <c:pt idx="4">
                  <c:v>80.240722166499495</c:v>
                </c:pt>
                <c:pt idx="5">
                  <c:v>88.353413654618464</c:v>
                </c:pt>
                <c:pt idx="6">
                  <c:v>91.959798994974875</c:v>
                </c:pt>
                <c:pt idx="7">
                  <c:v>93.058350100603619</c:v>
                </c:pt>
                <c:pt idx="8">
                  <c:v>93.756294058408855</c:v>
                </c:pt>
                <c:pt idx="9">
                  <c:v>94.254032258064512</c:v>
                </c:pt>
                <c:pt idx="10">
                  <c:v>94.651866801210943</c:v>
                </c:pt>
                <c:pt idx="11">
                  <c:v>94.969696969697011</c:v>
                </c:pt>
                <c:pt idx="12">
                  <c:v>95.166835187057686</c:v>
                </c:pt>
                <c:pt idx="13">
                  <c:v>95.263157894736906</c:v>
                </c:pt>
                <c:pt idx="14">
                  <c:v>95.309017223910914</c:v>
                </c:pt>
                <c:pt idx="15">
                  <c:v>95.304259634888524</c:v>
                </c:pt>
                <c:pt idx="16">
                  <c:v>95.2487309644671</c:v>
                </c:pt>
                <c:pt idx="17">
                  <c:v>95.142276422764326</c:v>
                </c:pt>
                <c:pt idx="18">
                  <c:v>94.984740590030626</c:v>
                </c:pt>
                <c:pt idx="19">
                  <c:v>94.775967413442061</c:v>
                </c:pt>
                <c:pt idx="20">
                  <c:v>94.515800203873724</c:v>
                </c:pt>
                <c:pt idx="21">
                  <c:v>94.255102040816467</c:v>
                </c:pt>
                <c:pt idx="22">
                  <c:v>93.993871297242237</c:v>
                </c:pt>
                <c:pt idx="23">
                  <c:v>93.732106339468473</c:v>
                </c:pt>
                <c:pt idx="24">
                  <c:v>93.469805527124024</c:v>
                </c:pt>
                <c:pt idx="25">
                  <c:v>93.20696721311495</c:v>
                </c:pt>
                <c:pt idx="26">
                  <c:v>92.892307692307881</c:v>
                </c:pt>
                <c:pt idx="27">
                  <c:v>92.577002053388284</c:v>
                </c:pt>
                <c:pt idx="28">
                  <c:v>92.261048304213972</c:v>
                </c:pt>
                <c:pt idx="29">
                  <c:v>91.944444444444656</c:v>
                </c:pt>
                <c:pt idx="30">
                  <c:v>91.627188465499685</c:v>
                </c:pt>
                <c:pt idx="31">
                  <c:v>91.309278350515669</c:v>
                </c:pt>
                <c:pt idx="32">
                  <c:v>90.887512899897018</c:v>
                </c:pt>
                <c:pt idx="33">
                  <c:v>90.464876033058076</c:v>
                </c:pt>
                <c:pt idx="34">
                  <c:v>90.041365046535901</c:v>
                </c:pt>
                <c:pt idx="35">
                  <c:v>89.616977225673111</c:v>
                </c:pt>
                <c:pt idx="36">
                  <c:v>89.191709844559824</c:v>
                </c:pt>
                <c:pt idx="37">
                  <c:v>88.765560165975359</c:v>
                </c:pt>
                <c:pt idx="38">
                  <c:v>88.286604361370976</c:v>
                </c:pt>
                <c:pt idx="39">
                  <c:v>87.806652806653076</c:v>
                </c:pt>
                <c:pt idx="40">
                  <c:v>87.325702393340549</c:v>
                </c:pt>
                <c:pt idx="41">
                  <c:v>86.791666666666956</c:v>
                </c:pt>
                <c:pt idx="42">
                  <c:v>86.256517205422625</c:v>
                </c:pt>
                <c:pt idx="43">
                  <c:v>85.720250521920988</c:v>
                </c:pt>
                <c:pt idx="44">
                  <c:v>85.182863113897923</c:v>
                </c:pt>
                <c:pt idx="45">
                  <c:v>84.644351464435488</c:v>
                </c:pt>
                <c:pt idx="46">
                  <c:v>84.104712041885165</c:v>
                </c:pt>
                <c:pt idx="47">
                  <c:v>83.563941299790727</c:v>
                </c:pt>
                <c:pt idx="48">
                  <c:v>83.022035676810447</c:v>
                </c:pt>
                <c:pt idx="49">
                  <c:v>82.478991596639034</c:v>
                </c:pt>
                <c:pt idx="50">
                  <c:v>81.934805467928896</c:v>
                </c:pt>
                <c:pt idx="51">
                  <c:v>81.389473684210927</c:v>
                </c:pt>
                <c:pt idx="52">
                  <c:v>80.842992623814951</c:v>
                </c:pt>
                <c:pt idx="53">
                  <c:v>80.295358649789463</c:v>
                </c:pt>
                <c:pt idx="54">
                  <c:v>79.746568109820927</c:v>
                </c:pt>
                <c:pt idx="55">
                  <c:v>79.19661733615267</c:v>
                </c:pt>
                <c:pt idx="56">
                  <c:v>78.6455026455031</c:v>
                </c:pt>
                <c:pt idx="57">
                  <c:v>78.093220338983528</c:v>
                </c:pt>
                <c:pt idx="58">
                  <c:v>77.539766702015328</c:v>
                </c:pt>
                <c:pt idx="59">
                  <c:v>76.985138004246778</c:v>
                </c:pt>
                <c:pt idx="60">
                  <c:v>76.42933049946916</c:v>
                </c:pt>
                <c:pt idx="61">
                  <c:v>75.872340425532443</c:v>
                </c:pt>
                <c:pt idx="62">
                  <c:v>75.314164004260377</c:v>
                </c:pt>
                <c:pt idx="63">
                  <c:v>74.754797441364744</c:v>
                </c:pt>
                <c:pt idx="64">
                  <c:v>74.194236926360475</c:v>
                </c:pt>
                <c:pt idx="65">
                  <c:v>73.632478632477984</c:v>
                </c:pt>
                <c:pt idx="66">
                  <c:v>73.069518716576511</c:v>
                </c:pt>
                <c:pt idx="67">
                  <c:v>72.505353319056411</c:v>
                </c:pt>
                <c:pt idx="68">
                  <c:v>71.939978563771007</c:v>
                </c:pt>
                <c:pt idx="69">
                  <c:v>71.373390557937782</c:v>
                </c:pt>
                <c:pt idx="70">
                  <c:v>70.805585392049053</c:v>
                </c:pt>
                <c:pt idx="71">
                  <c:v>70.236559139782088</c:v>
                </c:pt>
                <c:pt idx="72">
                  <c:v>69.666307857908521</c:v>
                </c:pt>
                <c:pt idx="73">
                  <c:v>69.094827586203351</c:v>
                </c:pt>
                <c:pt idx="74">
                  <c:v>68.522114347353167</c:v>
                </c:pt>
                <c:pt idx="75">
                  <c:v>67.948164146864016</c:v>
                </c:pt>
                <c:pt idx="76">
                  <c:v>67.372972972968398</c:v>
                </c:pt>
                <c:pt idx="77">
                  <c:v>66.796536796531896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528192"/>
        <c:axId val="133554560"/>
      </c:lineChart>
      <c:catAx>
        <c:axId val="1335281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335545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3554560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33528192"/>
        <c:crosses val="autoZero"/>
        <c:crossBetween val="midCat"/>
        <c:majorUnit val="5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8"/>
        <c:delete val="1"/>
      </c:legendEntry>
      <c:layout>
        <c:manualLayout>
          <c:xMode val="edge"/>
          <c:yMode val="edge"/>
          <c:x val="0.19687499999999997"/>
          <c:y val="0.95117845117845201"/>
          <c:w val="0.50937500000000002"/>
          <c:h val="4.545454545454540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A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autoTitleDeleted val="0"/>
    <c:plotArea>
      <c:layout>
        <c:manualLayout>
          <c:layoutTarget val="inner"/>
          <c:xMode val="edge"/>
          <c:yMode val="edge"/>
          <c:x val="9.4791666666666829E-2"/>
          <c:y val="5.7239057239057263E-2"/>
          <c:w val="0.83645833333333364"/>
          <c:h val="0.7979797979797989"/>
        </c:manualLayout>
      </c:layout>
      <c:areaChart>
        <c:grouping val="stacked"/>
        <c:varyColors val="0"/>
        <c:ser>
          <c:idx val="1"/>
          <c:order val="3"/>
          <c:spPr>
            <a:noFill/>
            <a:ln w="12700">
              <a:solidFill>
                <a:srgbClr val="000000"/>
              </a:solidFill>
              <a:prstDash val="solid"/>
            </a:ln>
          </c:spPr>
          <c:cat>
            <c:numRef>
              <c:f>'Salida pc,cp,ca,ic'!$A$14:$A$91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pc,cp,ca,ic'!$M$14:$M$91</c:f>
              <c:numCache>
                <c:formatCode>0.0</c:formatCode>
                <c:ptCount val="78"/>
                <c:pt idx="0">
                  <c:v>143.07499999999999</c:v>
                </c:pt>
                <c:pt idx="1">
                  <c:v>150.83499999999998</c:v>
                </c:pt>
                <c:pt idx="2">
                  <c:v>159.07999999999998</c:v>
                </c:pt>
                <c:pt idx="3">
                  <c:v>165.96700000000001</c:v>
                </c:pt>
                <c:pt idx="4">
                  <c:v>173.63</c:v>
                </c:pt>
                <c:pt idx="5">
                  <c:v>177.51</c:v>
                </c:pt>
                <c:pt idx="6">
                  <c:v>181.39000000000001</c:v>
                </c:pt>
                <c:pt idx="7">
                  <c:v>182.845</c:v>
                </c:pt>
                <c:pt idx="8">
                  <c:v>184.3</c:v>
                </c:pt>
                <c:pt idx="9">
                  <c:v>184.785</c:v>
                </c:pt>
                <c:pt idx="10">
                  <c:v>185.36700000000002</c:v>
                </c:pt>
                <c:pt idx="11">
                  <c:v>185.755</c:v>
                </c:pt>
                <c:pt idx="12">
                  <c:v>186.24</c:v>
                </c:pt>
                <c:pt idx="13">
                  <c:v>186.53100000000001</c:v>
                </c:pt>
                <c:pt idx="14">
                  <c:v>186.72499999999999</c:v>
                </c:pt>
                <c:pt idx="15">
                  <c:v>187.01600000000002</c:v>
                </c:pt>
                <c:pt idx="16">
                  <c:v>187.30699999999999</c:v>
                </c:pt>
                <c:pt idx="17">
                  <c:v>187.501</c:v>
                </c:pt>
                <c:pt idx="18">
                  <c:v>187.69499999999999</c:v>
                </c:pt>
                <c:pt idx="19">
                  <c:v>187.98599999999999</c:v>
                </c:pt>
                <c:pt idx="20">
                  <c:v>188.18</c:v>
                </c:pt>
                <c:pt idx="21">
                  <c:v>188.471</c:v>
                </c:pt>
                <c:pt idx="22">
                  <c:v>188.66500000000002</c:v>
                </c:pt>
                <c:pt idx="23">
                  <c:v>188.95599999999999</c:v>
                </c:pt>
                <c:pt idx="24">
                  <c:v>189.24700000000001</c:v>
                </c:pt>
                <c:pt idx="25">
                  <c:v>189.441</c:v>
                </c:pt>
                <c:pt idx="26">
                  <c:v>189.63499999999999</c:v>
                </c:pt>
                <c:pt idx="27">
                  <c:v>189.92599999999999</c:v>
                </c:pt>
                <c:pt idx="28">
                  <c:v>190.12</c:v>
                </c:pt>
                <c:pt idx="29">
                  <c:v>190.411</c:v>
                </c:pt>
                <c:pt idx="30">
                  <c:v>190.60499999999999</c:v>
                </c:pt>
                <c:pt idx="31">
                  <c:v>190.89600000000002</c:v>
                </c:pt>
                <c:pt idx="32">
                  <c:v>191.18699999999998</c:v>
                </c:pt>
                <c:pt idx="33">
                  <c:v>191.381</c:v>
                </c:pt>
                <c:pt idx="34">
                  <c:v>191.57499999999999</c:v>
                </c:pt>
                <c:pt idx="35">
                  <c:v>191.86600000000001</c:v>
                </c:pt>
                <c:pt idx="36">
                  <c:v>192.06</c:v>
                </c:pt>
                <c:pt idx="37">
                  <c:v>192.44800000000001</c:v>
                </c:pt>
                <c:pt idx="38">
                  <c:v>192.54500000000002</c:v>
                </c:pt>
                <c:pt idx="39">
                  <c:v>192.93299999999999</c:v>
                </c:pt>
                <c:pt idx="40">
                  <c:v>193.12700000000001</c:v>
                </c:pt>
                <c:pt idx="41">
                  <c:v>193.321</c:v>
                </c:pt>
                <c:pt idx="42">
                  <c:v>193.51500000000001</c:v>
                </c:pt>
                <c:pt idx="43">
                  <c:v>193.80599999999998</c:v>
                </c:pt>
                <c:pt idx="44">
                  <c:v>194</c:v>
                </c:pt>
                <c:pt idx="45">
                  <c:v>194.291</c:v>
                </c:pt>
                <c:pt idx="46">
                  <c:v>194.48499999999999</c:v>
                </c:pt>
                <c:pt idx="47">
                  <c:v>194.77600000000001</c:v>
                </c:pt>
                <c:pt idx="48">
                  <c:v>195.06700000000001</c:v>
                </c:pt>
                <c:pt idx="49">
                  <c:v>195.261</c:v>
                </c:pt>
                <c:pt idx="50">
                  <c:v>195.45499999999998</c:v>
                </c:pt>
                <c:pt idx="51">
                  <c:v>195.74600000000001</c:v>
                </c:pt>
                <c:pt idx="52">
                  <c:v>195.94</c:v>
                </c:pt>
                <c:pt idx="53">
                  <c:v>196.23099999999999</c:v>
                </c:pt>
                <c:pt idx="54">
                  <c:v>196.42500000000001</c:v>
                </c:pt>
                <c:pt idx="55">
                  <c:v>196.71600000000001</c:v>
                </c:pt>
                <c:pt idx="56">
                  <c:v>197.00700000000001</c:v>
                </c:pt>
                <c:pt idx="57">
                  <c:v>197.20099999999999</c:v>
                </c:pt>
                <c:pt idx="58">
                  <c:v>197.39500000000001</c:v>
                </c:pt>
                <c:pt idx="59">
                  <c:v>197.68599999999998</c:v>
                </c:pt>
                <c:pt idx="60">
                  <c:v>197.88</c:v>
                </c:pt>
                <c:pt idx="61">
                  <c:v>198.17099999999999</c:v>
                </c:pt>
                <c:pt idx="62">
                  <c:v>198.36500000000001</c:v>
                </c:pt>
                <c:pt idx="63">
                  <c:v>198.46199999999999</c:v>
                </c:pt>
                <c:pt idx="64">
                  <c:v>198.559</c:v>
                </c:pt>
                <c:pt idx="65">
                  <c:v>198.65600000000001</c:v>
                </c:pt>
                <c:pt idx="66">
                  <c:v>198.75299999999999</c:v>
                </c:pt>
                <c:pt idx="67">
                  <c:v>198.85</c:v>
                </c:pt>
                <c:pt idx="68">
                  <c:v>198.947</c:v>
                </c:pt>
                <c:pt idx="69">
                  <c:v>199.04400000000001</c:v>
                </c:pt>
                <c:pt idx="70">
                  <c:v>199.14100000000002</c:v>
                </c:pt>
                <c:pt idx="71">
                  <c:v>199.238</c:v>
                </c:pt>
                <c:pt idx="72">
                  <c:v>199.33499999999998</c:v>
                </c:pt>
                <c:pt idx="73">
                  <c:v>199.43199999999999</c:v>
                </c:pt>
                <c:pt idx="74">
                  <c:v>199.529</c:v>
                </c:pt>
                <c:pt idx="75">
                  <c:v>199.626</c:v>
                </c:pt>
                <c:pt idx="76">
                  <c:v>199.72300000000001</c:v>
                </c:pt>
                <c:pt idx="77">
                  <c:v>199.82</c:v>
                </c:pt>
              </c:numCache>
            </c:numRef>
          </c:val>
        </c:ser>
        <c:ser>
          <c:idx val="3"/>
          <c:order val="4"/>
          <c:spPr>
            <a:solidFill>
              <a:srgbClr val="FFFF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'Salida pc,cp,ca,ic'!$A$14:$A$91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pc,cp,ca,ic'!$O$14:$O$91</c:f>
              <c:numCache>
                <c:formatCode>0.0</c:formatCode>
                <c:ptCount val="78"/>
                <c:pt idx="0">
                  <c:v>8.8500000000000227</c:v>
                </c:pt>
                <c:pt idx="1">
                  <c:v>9.3300000000000409</c:v>
                </c:pt>
                <c:pt idx="2">
                  <c:v>9.8400000000000318</c:v>
                </c:pt>
                <c:pt idx="3">
                  <c:v>10.265999999999991</c:v>
                </c:pt>
                <c:pt idx="4">
                  <c:v>10.740000000000009</c:v>
                </c:pt>
                <c:pt idx="5">
                  <c:v>10.980000000000018</c:v>
                </c:pt>
                <c:pt idx="6">
                  <c:v>11.21999999999997</c:v>
                </c:pt>
                <c:pt idx="7">
                  <c:v>11.310000000000002</c:v>
                </c:pt>
                <c:pt idx="8">
                  <c:v>11.399999999999977</c:v>
                </c:pt>
                <c:pt idx="9">
                  <c:v>11.430000000000007</c:v>
                </c:pt>
                <c:pt idx="10">
                  <c:v>11.46599999999998</c:v>
                </c:pt>
                <c:pt idx="11">
                  <c:v>11.490000000000009</c:v>
                </c:pt>
                <c:pt idx="12">
                  <c:v>11.519999999999982</c:v>
                </c:pt>
                <c:pt idx="13">
                  <c:v>11.538000000000011</c:v>
                </c:pt>
                <c:pt idx="14">
                  <c:v>11.550000000000011</c:v>
                </c:pt>
                <c:pt idx="15">
                  <c:v>11.567999999999984</c:v>
                </c:pt>
                <c:pt idx="16">
                  <c:v>11.586000000000013</c:v>
                </c:pt>
                <c:pt idx="17">
                  <c:v>11.597999999999985</c:v>
                </c:pt>
                <c:pt idx="18">
                  <c:v>11.610000000000014</c:v>
                </c:pt>
                <c:pt idx="19">
                  <c:v>11.628000000000014</c:v>
                </c:pt>
                <c:pt idx="20">
                  <c:v>11.639999999999986</c:v>
                </c:pt>
                <c:pt idx="21">
                  <c:v>11.657999999999987</c:v>
                </c:pt>
                <c:pt idx="22">
                  <c:v>11.669999999999959</c:v>
                </c:pt>
                <c:pt idx="23">
                  <c:v>11.688000000000017</c:v>
                </c:pt>
                <c:pt idx="24">
                  <c:v>11.705999999999989</c:v>
                </c:pt>
                <c:pt idx="25">
                  <c:v>11.717999999999989</c:v>
                </c:pt>
                <c:pt idx="26">
                  <c:v>11.730000000000018</c:v>
                </c:pt>
                <c:pt idx="27">
                  <c:v>11.748000000000019</c:v>
                </c:pt>
                <c:pt idx="28">
                  <c:v>11.759999999999991</c:v>
                </c:pt>
                <c:pt idx="29">
                  <c:v>11.77800000000002</c:v>
                </c:pt>
                <c:pt idx="30">
                  <c:v>11.79000000000002</c:v>
                </c:pt>
                <c:pt idx="31">
                  <c:v>11.807999999999993</c:v>
                </c:pt>
                <c:pt idx="32">
                  <c:v>11.826000000000022</c:v>
                </c:pt>
                <c:pt idx="33">
                  <c:v>11.837999999999994</c:v>
                </c:pt>
                <c:pt idx="34">
                  <c:v>11.850000000000023</c:v>
                </c:pt>
                <c:pt idx="35">
                  <c:v>11.867999999999967</c:v>
                </c:pt>
                <c:pt idx="36">
                  <c:v>11.879999999999995</c:v>
                </c:pt>
                <c:pt idx="37">
                  <c:v>11.903999999999996</c:v>
                </c:pt>
                <c:pt idx="38">
                  <c:v>11.909999999999968</c:v>
                </c:pt>
                <c:pt idx="39">
                  <c:v>11.934000000000026</c:v>
                </c:pt>
                <c:pt idx="40">
                  <c:v>11.945999999999998</c:v>
                </c:pt>
                <c:pt idx="41">
                  <c:v>11.957999999999998</c:v>
                </c:pt>
                <c:pt idx="42">
                  <c:v>11.96999999999997</c:v>
                </c:pt>
                <c:pt idx="43">
                  <c:v>11.988000000000028</c:v>
                </c:pt>
                <c:pt idx="44">
                  <c:v>12</c:v>
                </c:pt>
                <c:pt idx="45">
                  <c:v>12.018000000000029</c:v>
                </c:pt>
                <c:pt idx="46">
                  <c:v>12.03000000000003</c:v>
                </c:pt>
                <c:pt idx="47">
                  <c:v>12.047999999999973</c:v>
                </c:pt>
                <c:pt idx="48">
                  <c:v>12.065999999999974</c:v>
                </c:pt>
                <c:pt idx="49">
                  <c:v>12.078000000000003</c:v>
                </c:pt>
                <c:pt idx="50">
                  <c:v>12.090000000000003</c:v>
                </c:pt>
                <c:pt idx="51">
                  <c:v>12.107999999999976</c:v>
                </c:pt>
                <c:pt idx="52">
                  <c:v>12.120000000000005</c:v>
                </c:pt>
                <c:pt idx="53">
                  <c:v>12.138000000000005</c:v>
                </c:pt>
                <c:pt idx="54">
                  <c:v>12.149999999999977</c:v>
                </c:pt>
                <c:pt idx="55">
                  <c:v>12.168000000000006</c:v>
                </c:pt>
                <c:pt idx="56">
                  <c:v>12.185999999999979</c:v>
                </c:pt>
                <c:pt idx="57">
                  <c:v>12.197999999999979</c:v>
                </c:pt>
                <c:pt idx="58">
                  <c:v>12.210000000000008</c:v>
                </c:pt>
                <c:pt idx="59">
                  <c:v>12.228000000000009</c:v>
                </c:pt>
                <c:pt idx="60">
                  <c:v>12.239999999999981</c:v>
                </c:pt>
                <c:pt idx="61">
                  <c:v>12.25800000000001</c:v>
                </c:pt>
                <c:pt idx="62">
                  <c:v>12.269999999999982</c:v>
                </c:pt>
                <c:pt idx="63">
                  <c:v>12.27600000000001</c:v>
                </c:pt>
                <c:pt idx="64">
                  <c:v>12.281999999999982</c:v>
                </c:pt>
                <c:pt idx="65">
                  <c:v>12.288000000000011</c:v>
                </c:pt>
                <c:pt idx="66">
                  <c:v>12.293999999999983</c:v>
                </c:pt>
                <c:pt idx="67">
                  <c:v>12.300000000000011</c:v>
                </c:pt>
                <c:pt idx="68">
                  <c:v>12.306000000000012</c:v>
                </c:pt>
                <c:pt idx="69">
                  <c:v>12.311999999999983</c:v>
                </c:pt>
                <c:pt idx="70">
                  <c:v>12.317999999999984</c:v>
                </c:pt>
                <c:pt idx="71">
                  <c:v>12.323999999999984</c:v>
                </c:pt>
                <c:pt idx="72">
                  <c:v>12.330000000000041</c:v>
                </c:pt>
                <c:pt idx="73">
                  <c:v>12.335999999999984</c:v>
                </c:pt>
                <c:pt idx="74">
                  <c:v>12.342000000000013</c:v>
                </c:pt>
                <c:pt idx="75">
                  <c:v>12.347999999999985</c:v>
                </c:pt>
                <c:pt idx="76">
                  <c:v>12.353999999999985</c:v>
                </c:pt>
                <c:pt idx="77">
                  <c:v>12.360000000000014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049024"/>
        <c:axId val="136050944"/>
      </c:areaChart>
      <c:lineChart>
        <c:grouping val="standard"/>
        <c:varyColors val="0"/>
        <c:ser>
          <c:idx val="2"/>
          <c:order val="0"/>
          <c:tx>
            <c:strRef>
              <c:f>Traducción!$B$79</c:f>
              <c:strCache>
                <c:ptCount val="1"/>
                <c:pt idx="0">
                  <c:v>Peso Corporal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numRef>
              <c:f>'Salida pc,cp,ca,ic'!$A$14:$A$91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pc,cp,ca,ic'!$J$14:$J$91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Traducción!$B$107</c:f>
              <c:strCache>
                <c:ptCount val="1"/>
                <c:pt idx="0">
                  <c:v>Consumo de Pienso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  <a:prstDash val="solid"/>
              </a:ln>
            </c:spPr>
          </c:marker>
          <c:cat>
            <c:numRef>
              <c:f>'Salida pc,cp,ca,ic'!$A$14:$A$91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pc,cp,ca,ic'!$D$14:$D$91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Traducción!$B$108</c:f>
              <c:strCache>
                <c:ptCount val="1"/>
                <c:pt idx="0">
                  <c:v>Consumo de Agua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3333CC"/>
              </a:solidFill>
              <a:ln>
                <a:solidFill>
                  <a:srgbClr val="3333CC"/>
                </a:solidFill>
                <a:prstDash val="solid"/>
              </a:ln>
            </c:spPr>
          </c:marker>
          <c:cat>
            <c:numRef>
              <c:f>'Salida pc,cp,ca,ic'!$A$14:$A$91</c:f>
              <c:numCache>
                <c:formatCode>General</c:formatCode>
                <c:ptCount val="78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  <c:pt idx="73">
                  <c:v>91</c:v>
                </c:pt>
                <c:pt idx="74">
                  <c:v>92</c:v>
                </c:pt>
                <c:pt idx="75">
                  <c:v>93</c:v>
                </c:pt>
                <c:pt idx="76">
                  <c:v>94</c:v>
                </c:pt>
                <c:pt idx="77">
                  <c:v>95</c:v>
                </c:pt>
              </c:numCache>
            </c:numRef>
          </c:cat>
          <c:val>
            <c:numRef>
              <c:f>'Salida pc,cp,ca,ic'!$F$14:$F$91</c:f>
              <c:numCache>
                <c:formatCode>[=0]\ ;0.0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49024"/>
        <c:axId val="136050944"/>
      </c:lineChart>
      <c:lineChart>
        <c:grouping val="standard"/>
        <c:varyColors val="0"/>
        <c:ser>
          <c:idx val="0"/>
          <c:order val="2"/>
          <c:tx>
            <c:strRef>
              <c:f>Traducción!$B$105</c:f>
              <c:strCache>
                <c:ptCount val="1"/>
                <c:pt idx="0">
                  <c:v>I.C./sem.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noFill/>
              <a:ln>
                <a:solidFill>
                  <a:srgbClr val="FF0000"/>
                </a:solidFill>
                <a:prstDash val="solid"/>
              </a:ln>
            </c:spPr>
          </c:marker>
          <c:cat>
            <c:numRef>
              <c:f>'Salida pc,cp,ca,ic'!$A$14:$A$86</c:f>
              <c:numCache>
                <c:formatCode>General</c:formatCode>
                <c:ptCount val="73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</c:numCache>
            </c:numRef>
          </c:cat>
          <c:val>
            <c:numRef>
              <c:f>'Salida pc,cp,ca,ic'!$H$14:$H$91</c:f>
              <c:numCache>
                <c:formatCode>[=0]\ ;0.00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Traducción!$B$106</c:f>
              <c:strCache>
                <c:ptCount val="1"/>
                <c:pt idx="0">
                  <c:v>I.C. acum.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numRef>
              <c:f>'Salida pc,cp,ca,ic'!$A$14:$A$86</c:f>
              <c:numCache>
                <c:formatCode>General</c:formatCode>
                <c:ptCount val="73"/>
                <c:pt idx="0">
                  <c:v>18</c:v>
                </c:pt>
                <c:pt idx="1">
                  <c:v>19</c:v>
                </c:pt>
                <c:pt idx="2">
                  <c:v>20</c:v>
                </c:pt>
                <c:pt idx="3">
                  <c:v>21</c:v>
                </c:pt>
                <c:pt idx="4">
                  <c:v>22</c:v>
                </c:pt>
                <c:pt idx="5">
                  <c:v>23</c:v>
                </c:pt>
                <c:pt idx="6">
                  <c:v>24</c:v>
                </c:pt>
                <c:pt idx="7">
                  <c:v>25</c:v>
                </c:pt>
                <c:pt idx="8">
                  <c:v>26</c:v>
                </c:pt>
                <c:pt idx="9">
                  <c:v>27</c:v>
                </c:pt>
                <c:pt idx="10">
                  <c:v>28</c:v>
                </c:pt>
                <c:pt idx="11">
                  <c:v>29</c:v>
                </c:pt>
                <c:pt idx="12">
                  <c:v>30</c:v>
                </c:pt>
                <c:pt idx="13">
                  <c:v>31</c:v>
                </c:pt>
                <c:pt idx="14">
                  <c:v>32</c:v>
                </c:pt>
                <c:pt idx="15">
                  <c:v>33</c:v>
                </c:pt>
                <c:pt idx="16">
                  <c:v>34</c:v>
                </c:pt>
                <c:pt idx="17">
                  <c:v>35</c:v>
                </c:pt>
                <c:pt idx="18">
                  <c:v>36</c:v>
                </c:pt>
                <c:pt idx="19">
                  <c:v>37</c:v>
                </c:pt>
                <c:pt idx="20">
                  <c:v>38</c:v>
                </c:pt>
                <c:pt idx="21">
                  <c:v>39</c:v>
                </c:pt>
                <c:pt idx="22">
                  <c:v>40</c:v>
                </c:pt>
                <c:pt idx="23">
                  <c:v>41</c:v>
                </c:pt>
                <c:pt idx="24">
                  <c:v>42</c:v>
                </c:pt>
                <c:pt idx="25">
                  <c:v>43</c:v>
                </c:pt>
                <c:pt idx="26">
                  <c:v>44</c:v>
                </c:pt>
                <c:pt idx="27">
                  <c:v>45</c:v>
                </c:pt>
                <c:pt idx="28">
                  <c:v>46</c:v>
                </c:pt>
                <c:pt idx="29">
                  <c:v>47</c:v>
                </c:pt>
                <c:pt idx="30">
                  <c:v>48</c:v>
                </c:pt>
                <c:pt idx="31">
                  <c:v>49</c:v>
                </c:pt>
                <c:pt idx="32">
                  <c:v>50</c:v>
                </c:pt>
                <c:pt idx="33">
                  <c:v>51</c:v>
                </c:pt>
                <c:pt idx="34">
                  <c:v>52</c:v>
                </c:pt>
                <c:pt idx="35">
                  <c:v>53</c:v>
                </c:pt>
                <c:pt idx="36">
                  <c:v>54</c:v>
                </c:pt>
                <c:pt idx="37">
                  <c:v>55</c:v>
                </c:pt>
                <c:pt idx="38">
                  <c:v>56</c:v>
                </c:pt>
                <c:pt idx="39">
                  <c:v>57</c:v>
                </c:pt>
                <c:pt idx="40">
                  <c:v>58</c:v>
                </c:pt>
                <c:pt idx="41">
                  <c:v>59</c:v>
                </c:pt>
                <c:pt idx="42">
                  <c:v>60</c:v>
                </c:pt>
                <c:pt idx="43">
                  <c:v>61</c:v>
                </c:pt>
                <c:pt idx="44">
                  <c:v>62</c:v>
                </c:pt>
                <c:pt idx="45">
                  <c:v>63</c:v>
                </c:pt>
                <c:pt idx="46">
                  <c:v>64</c:v>
                </c:pt>
                <c:pt idx="47">
                  <c:v>65</c:v>
                </c:pt>
                <c:pt idx="48">
                  <c:v>66</c:v>
                </c:pt>
                <c:pt idx="49">
                  <c:v>67</c:v>
                </c:pt>
                <c:pt idx="50">
                  <c:v>68</c:v>
                </c:pt>
                <c:pt idx="51">
                  <c:v>69</c:v>
                </c:pt>
                <c:pt idx="52">
                  <c:v>70</c:v>
                </c:pt>
                <c:pt idx="53">
                  <c:v>71</c:v>
                </c:pt>
                <c:pt idx="54">
                  <c:v>72</c:v>
                </c:pt>
                <c:pt idx="55">
                  <c:v>73</c:v>
                </c:pt>
                <c:pt idx="56">
                  <c:v>74</c:v>
                </c:pt>
                <c:pt idx="57">
                  <c:v>75</c:v>
                </c:pt>
                <c:pt idx="58">
                  <c:v>76</c:v>
                </c:pt>
                <c:pt idx="59">
                  <c:v>77</c:v>
                </c:pt>
                <c:pt idx="60">
                  <c:v>78</c:v>
                </c:pt>
                <c:pt idx="61">
                  <c:v>79</c:v>
                </c:pt>
                <c:pt idx="62">
                  <c:v>80</c:v>
                </c:pt>
                <c:pt idx="63">
                  <c:v>81</c:v>
                </c:pt>
                <c:pt idx="64">
                  <c:v>82</c:v>
                </c:pt>
                <c:pt idx="65">
                  <c:v>83</c:v>
                </c:pt>
                <c:pt idx="66">
                  <c:v>84</c:v>
                </c:pt>
                <c:pt idx="67">
                  <c:v>85</c:v>
                </c:pt>
                <c:pt idx="68">
                  <c:v>86</c:v>
                </c:pt>
                <c:pt idx="69">
                  <c:v>87</c:v>
                </c:pt>
                <c:pt idx="70">
                  <c:v>88</c:v>
                </c:pt>
                <c:pt idx="71">
                  <c:v>89</c:v>
                </c:pt>
                <c:pt idx="72">
                  <c:v>90</c:v>
                </c:pt>
              </c:numCache>
            </c:numRef>
          </c:cat>
          <c:val>
            <c:numRef>
              <c:f>'Salida pc,cp,ca,ic'!$I$14:$I$91</c:f>
              <c:numCache>
                <c:formatCode>[=0]\ ;0.00</c:formatCode>
                <c:ptCount val="7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31264"/>
        <c:axId val="136332800"/>
      </c:lineChart>
      <c:catAx>
        <c:axId val="1360490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360509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050944"/>
        <c:scaling>
          <c:orientation val="minMax"/>
          <c:max val="250"/>
          <c:min val="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36049024"/>
        <c:crosses val="autoZero"/>
        <c:crossBetween val="midCat"/>
      </c:valAx>
      <c:catAx>
        <c:axId val="136331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6332800"/>
        <c:crosses val="autoZero"/>
        <c:auto val="0"/>
        <c:lblAlgn val="ctr"/>
        <c:lblOffset val="100"/>
        <c:noMultiLvlLbl val="0"/>
      </c:catAx>
      <c:valAx>
        <c:axId val="136332800"/>
        <c:scaling>
          <c:orientation val="minMax"/>
          <c:max val="10"/>
          <c:min val="0"/>
        </c:scaling>
        <c:delete val="0"/>
        <c:axPos val="r"/>
        <c:numFmt formatCode="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136331264"/>
        <c:crosses val="max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ayout>
        <c:manualLayout>
          <c:xMode val="edge"/>
          <c:yMode val="edge"/>
          <c:x val="0.11874999999999998"/>
          <c:y val="0.76262626262626265"/>
          <c:w val="0.63750000000000062"/>
          <c:h val="4.545454545454540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AR"/>
        </a:p>
      </c:txPr>
    </c:legend>
    <c:plotVisOnly val="1"/>
    <c:dispBlanksAs val="span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35" workbookViewId="0"/>
  </sheetViews>
  <sheetProtection password="EA71" content="1" objects="1"/>
  <pageMargins left="0.78740157480314965" right="0.78740157480314965" top="0.98425196850393704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</oddHeader>
    <oddFooter>&amp;Lltzaf0915&amp;R&amp;12&amp;F, &amp;D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35" workbookViewId="0"/>
  </sheetViews>
  <sheetProtection password="EA71" content="1" objects="1"/>
  <pageMargins left="0.59055118110236227" right="0.78740157480314965" top="0.98425196850393704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</oddHeader>
    <oddFooter>&amp;Lltzaf0915&amp;R&amp;12&amp;F, &amp;D</oddFooter>
  </headerFooter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35" workbookViewId="0"/>
  </sheetViews>
  <sheetProtection password="EA71" content="1" objects="1"/>
  <pageMargins left="0.78740157480314965" right="0.78740157480314965" top="0.98425196850393704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</oddHeader>
    <oddFooter>&amp;Lltzaf0915&amp;R&amp;12&amp;F, &amp;D</oddFooter>
  </headerFooter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44000" cy="5650089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absSizeAnchor xmlns:cdr="http://schemas.openxmlformats.org/drawingml/2006/chartDrawing">
    <cdr:from>
      <cdr:x>0.81123</cdr:x>
      <cdr:y>0.93341</cdr:y>
    </cdr:from>
    <cdr:ext cx="1004378" cy="239809"/>
    <cdr:sp macro="" textlink="Traducción!$B$22">
      <cdr:nvSpPr>
        <cdr:cNvPr id="2" name="Textfeld 1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>
          <a:off x="7412163" y="5268580"/>
          <a:ext cx="1004378" cy="23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9BD8B9DF-2C0B-40EE-8998-8392F51A9F04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Sem.   de vida</a:t>
          </a:fld>
          <a:endParaRPr lang="de-DE" sz="1000" b="1">
            <a:latin typeface="Arial" pitchFamily="34" charset="0"/>
            <a:cs typeface="Arial" pitchFamily="34" charset="0"/>
          </a:endParaRPr>
        </a:p>
      </cdr:txBody>
    </cdr:sp>
  </cdr:absSizeAnchor>
  <cdr:absSizeAnchor xmlns:cdr="http://schemas.openxmlformats.org/drawingml/2006/chartDrawing">
    <cdr:from>
      <cdr:x>0.02365</cdr:x>
      <cdr:y>0.3641</cdr:y>
    </cdr:from>
    <cdr:ext cx="239809" cy="1004249"/>
    <cdr:sp macro="" textlink="Traducción!$B$79">
      <cdr:nvSpPr>
        <cdr:cNvPr id="3" name="Textfeld 2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 rot="16200000">
          <a:off x="-166130" y="2437341"/>
          <a:ext cx="1004249" cy="23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horz" wrap="none" rtlCol="0" anchor="ctr" anchorCtr="0">
          <a:spAutoFit/>
        </a:bodyPr>
        <a:lstStyle xmlns:a="http://schemas.openxmlformats.org/drawingml/2006/main"/>
        <a:p xmlns:a="http://schemas.openxmlformats.org/drawingml/2006/main">
          <a:fld id="{F9174217-B676-411C-A2B6-5B1303156D58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Peso Corporal</a:t>
          </a:fld>
          <a:endParaRPr lang="de-DE" sz="1200" b="0">
            <a:latin typeface="Arial" pitchFamily="34" charset="0"/>
            <a:cs typeface="Arial" pitchFamily="34" charset="0"/>
          </a:endParaRPr>
        </a:p>
      </cdr:txBody>
    </cdr:sp>
  </cdr:absSizeAnchor>
  <cdr:absSizeAnchor xmlns:cdr="http://schemas.openxmlformats.org/drawingml/2006/chartDrawing">
    <cdr:from>
      <cdr:x>0.97297</cdr:x>
      <cdr:y>0.35501</cdr:y>
    </cdr:from>
    <cdr:ext cx="239809" cy="1332031"/>
    <cdr:sp macro="" textlink="Traducción!$B$88">
      <cdr:nvSpPr>
        <cdr:cNvPr id="4" name="Textfeld 3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 rot="16200000">
          <a:off x="8343862" y="2549927"/>
          <a:ext cx="1332031" cy="23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 anchor="ctr" anchorCtr="0">
          <a:spAutoFit/>
        </a:bodyPr>
        <a:lstStyle xmlns:a="http://schemas.openxmlformats.org/drawingml/2006/main"/>
        <a:p xmlns:a="http://schemas.openxmlformats.org/drawingml/2006/main">
          <a:fld id="{CED4E408-2BDD-4BB4-8EFB-4AD5C51C2E2D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% Mortalidad Acum.</a:t>
          </a:fld>
          <a:endParaRPr lang="de-DE" sz="1100">
            <a:latin typeface="Arial" pitchFamily="34" charset="0"/>
            <a:cs typeface="Arial" pitchFamily="34" charset="0"/>
          </a:endParaRPr>
        </a:p>
      </cdr:txBody>
    </cdr:sp>
  </cdr:abs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27444" cy="5651500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0.2847</cdr:x>
      <cdr:y>0.67739</cdr:y>
    </cdr:from>
    <cdr:to>
      <cdr:x>0.40275</cdr:x>
      <cdr:y>0.80459</cdr:y>
    </cdr:to>
    <cdr:sp macro="" textlink="Traducción!$B$94">
      <cdr:nvSpPr>
        <cdr:cNvPr id="21" name="Textfeld 20"/>
        <cdr:cNvSpPr txBox="1"/>
      </cdr:nvSpPr>
      <cdr:spPr>
        <a:xfrm xmlns:a="http://schemas.openxmlformats.org/drawingml/2006/main">
          <a:off x="2596460" y="3824102"/>
          <a:ext cx="1079450" cy="719678"/>
        </a:xfrm>
        <a:prstGeom xmlns:a="http://schemas.openxmlformats.org/drawingml/2006/main" prst="rect">
          <a:avLst/>
        </a:prstGeom>
        <a:solidFill xmlns:a="http://schemas.openxmlformats.org/drawingml/2006/main">
          <a:srgbClr val="FFFDDB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fld id="{7CD00BBC-DFAC-4965-BC62-D50688D27B76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No. Huevos/A.A.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0.84182</cdr:x>
      <cdr:y>0.66492</cdr:y>
    </cdr:from>
    <cdr:to>
      <cdr:x>0.96503</cdr:x>
      <cdr:y>0.80858</cdr:y>
    </cdr:to>
    <cdr:sp macro="" textlink="Traducción!$B$98">
      <cdr:nvSpPr>
        <cdr:cNvPr id="24" name="Textfeld 23"/>
        <cdr:cNvSpPr txBox="1"/>
      </cdr:nvSpPr>
      <cdr:spPr>
        <a:xfrm xmlns:a="http://schemas.openxmlformats.org/drawingml/2006/main">
          <a:off x="7697602" y="3753531"/>
          <a:ext cx="1128918" cy="811392"/>
        </a:xfrm>
        <a:prstGeom xmlns:a="http://schemas.openxmlformats.org/drawingml/2006/main" prst="rect">
          <a:avLst/>
        </a:prstGeom>
        <a:solidFill xmlns:a="http://schemas.openxmlformats.org/drawingml/2006/main">
          <a:srgbClr val="FFFDDB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fld id="{41874A10-4778-4545-AA24-510E4B03F83F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 algn="ctr"/>
            <a:t>Masa Huevo Acum.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0.65278</cdr:x>
      <cdr:y>0.67116</cdr:y>
    </cdr:from>
    <cdr:to>
      <cdr:x>0.78009</cdr:x>
      <cdr:y>0.80459</cdr:y>
    </cdr:to>
    <cdr:sp macro="" textlink="Traducción!$B$97">
      <cdr:nvSpPr>
        <cdr:cNvPr id="23" name="Textfeld 22"/>
        <cdr:cNvSpPr txBox="1"/>
      </cdr:nvSpPr>
      <cdr:spPr>
        <a:xfrm xmlns:a="http://schemas.openxmlformats.org/drawingml/2006/main">
          <a:off x="5968999" y="3788834"/>
          <a:ext cx="1164167" cy="754944"/>
        </a:xfrm>
        <a:prstGeom xmlns:a="http://schemas.openxmlformats.org/drawingml/2006/main" prst="rect">
          <a:avLst/>
        </a:prstGeom>
        <a:solidFill xmlns:a="http://schemas.openxmlformats.org/drawingml/2006/main">
          <a:srgbClr val="FFFDDB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fld id="{6100270E-2262-4235-B71E-78FD722EE28C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 algn="ctr"/>
            <a:t>Peso Huevo Acum.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0.48584</cdr:x>
      <cdr:y>0.6749</cdr:y>
    </cdr:from>
    <cdr:to>
      <cdr:x>0.59948</cdr:x>
      <cdr:y>0.80734</cdr:y>
    </cdr:to>
    <cdr:sp macro="" textlink="Traducción!$B$95">
      <cdr:nvSpPr>
        <cdr:cNvPr id="22" name="Textfeld 21"/>
        <cdr:cNvSpPr txBox="1"/>
      </cdr:nvSpPr>
      <cdr:spPr>
        <a:xfrm xmlns:a="http://schemas.openxmlformats.org/drawingml/2006/main">
          <a:off x="4437944" y="3810000"/>
          <a:ext cx="1041401" cy="747889"/>
        </a:xfrm>
        <a:prstGeom xmlns:a="http://schemas.openxmlformats.org/drawingml/2006/main" prst="rect">
          <a:avLst/>
        </a:prstGeom>
        <a:solidFill xmlns:a="http://schemas.openxmlformats.org/drawingml/2006/main">
          <a:srgbClr val="FFFDDB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fld id="{356F74E6-11ED-4392-B922-A0AE6715EF1C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 algn="ctr"/>
            <a:t>Viabilidad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0.12523</cdr:x>
      <cdr:y>0.67615</cdr:y>
    </cdr:from>
    <cdr:to>
      <cdr:x>0.24458</cdr:x>
      <cdr:y>0.80235</cdr:y>
    </cdr:to>
    <cdr:sp macro="" textlink="Traducción!$B$96">
      <cdr:nvSpPr>
        <cdr:cNvPr id="20" name="Textfeld 19"/>
        <cdr:cNvSpPr txBox="1"/>
      </cdr:nvSpPr>
      <cdr:spPr>
        <a:xfrm xmlns:a="http://schemas.openxmlformats.org/drawingml/2006/main">
          <a:off x="1135959" y="3817069"/>
          <a:ext cx="1093623" cy="712606"/>
        </a:xfrm>
        <a:prstGeom xmlns:a="http://schemas.openxmlformats.org/drawingml/2006/main" prst="rect">
          <a:avLst/>
        </a:prstGeom>
        <a:solidFill xmlns:a="http://schemas.openxmlformats.org/drawingml/2006/main">
          <a:srgbClr val="FFFEDA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fld id="{08DA65F6-C543-44D3-9147-A3638CA705B0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Sem. &gt; 90%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0.84125</cdr:x>
      <cdr:y>0.72475</cdr:y>
    </cdr:from>
    <cdr:to>
      <cdr:x>0.91925</cdr:x>
      <cdr:y>0.77025</cdr:y>
    </cdr:to>
    <cdr:sp macro="" textlink="'Salida Prod'!$Q$116">
      <cdr:nvSpPr>
        <cdr:cNvPr id="3095" name="Text 2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692390" y="4092040"/>
          <a:ext cx="715518" cy="2574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60A825C2-CDD4-4707-9BEC-62CBCD003BA6}" type="TxLink">
            <a:rPr lang="en-US" sz="12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 </a:t>
          </a:fld>
          <a:endParaRPr lang="de-DE" sz="1200" b="1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0.16775</cdr:x>
      <cdr:y>0.72475</cdr:y>
    </cdr:from>
    <cdr:to>
      <cdr:x>0.22375</cdr:x>
      <cdr:y>0.75875</cdr:y>
    </cdr:to>
    <cdr:sp macro="" textlink="'Salida Prod'!$Z$117">
      <cdr:nvSpPr>
        <cdr:cNvPr id="3098" name="Text 2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536192" y="4092040"/>
          <a:ext cx="514350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8B7AF2FA-EF8E-4F2D-9837-003C96C1DD68}" type="TxLink">
            <a:rPr lang="de-DE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0</a:t>
          </a:fld>
          <a:endParaRPr lang="de-DE" sz="1200" b="1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0.30025</cdr:x>
      <cdr:y>0.77</cdr:y>
    </cdr:from>
    <cdr:to>
      <cdr:x>0.38225</cdr:x>
      <cdr:y>0.809</cdr:y>
    </cdr:to>
    <cdr:sp macro="" textlink="'Salida Prod'!$AB$116">
      <cdr:nvSpPr>
        <cdr:cNvPr id="3099" name="Text 2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2738628" y="4348058"/>
          <a:ext cx="752094" cy="2192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1965B0F6-E48A-485F-8952-BEBAB52A5560}" type="TxLink">
            <a:rPr lang="en-US" sz="12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0,0</a:t>
          </a:fld>
          <a:endParaRPr lang="de-DE" sz="1200" b="0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0.84125</cdr:x>
      <cdr:y>0.76775</cdr:y>
    </cdr:from>
    <cdr:to>
      <cdr:x>0.91925</cdr:x>
      <cdr:y>0.8135</cdr:y>
    </cdr:to>
    <cdr:sp macro="" textlink="'Salida Prod'!$AE$116">
      <cdr:nvSpPr>
        <cdr:cNvPr id="3102" name="Text 30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7692390" y="4335328"/>
          <a:ext cx="715518" cy="2574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BDE1B989-BECE-40B3-B96F-F8FE5917E474}" type="TxLink">
            <a:rPr lang="en-US" sz="12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0,00</a:t>
          </a:fld>
          <a:endParaRPr lang="de-DE" sz="1200" b="0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0.167</cdr:x>
      <cdr:y>0.76475</cdr:y>
    </cdr:from>
    <cdr:to>
      <cdr:x>0.22325</cdr:x>
      <cdr:y>0.79825</cdr:y>
    </cdr:to>
    <cdr:sp macro="" textlink="'Salida Prod'!$AA$117">
      <cdr:nvSpPr>
        <cdr:cNvPr id="3103" name="Text 3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29334" y="4316940"/>
          <a:ext cx="514350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01BEA259-3455-4789-8FCB-EEC9559CDC21}" type="TxLink">
            <a:rPr lang="en-US" sz="12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0</a:t>
          </a:fld>
          <a:endParaRPr lang="de-DE" sz="1200" b="0" i="0" u="none" strike="noStrike" baseline="0">
            <a:solidFill>
              <a:sysClr val="windowText" lastClr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0.1245</cdr:x>
      <cdr:y>0.767</cdr:y>
    </cdr:from>
    <cdr:to>
      <cdr:x>0.169</cdr:x>
      <cdr:y>0.806</cdr:y>
    </cdr:to>
    <cdr:sp macro="" textlink="">
      <cdr:nvSpPr>
        <cdr:cNvPr id="3104" name="Text 3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8428" y="4331084"/>
          <a:ext cx="409194" cy="2192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Std</a:t>
          </a:r>
        </a:p>
        <a:p xmlns:a="http://schemas.openxmlformats.org/drawingml/2006/main">
          <a:pPr algn="l" rtl="0">
            <a:defRPr sz="1000"/>
          </a:pP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0.30125</cdr:x>
      <cdr:y>0.72475</cdr:y>
    </cdr:from>
    <cdr:to>
      <cdr:x>0.3835</cdr:x>
      <cdr:y>0.7635</cdr:y>
    </cdr:to>
    <cdr:sp macro="" textlink="'Salida Prod'!$H$116">
      <cdr:nvSpPr>
        <cdr:cNvPr id="3085" name="Text 13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2747772" y="4092040"/>
          <a:ext cx="752094" cy="2192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AB2647BE-3ACE-4AA3-8C1A-C7B8BF1B1CA4}" type="TxLink">
            <a:rPr lang="en-US" sz="12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 </a:t>
          </a:fld>
          <a:endParaRPr lang="de-DE" sz="1200" b="1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0.6665</cdr:x>
      <cdr:y>0.7185</cdr:y>
    </cdr:from>
    <cdr:to>
      <cdr:x>0.7435</cdr:x>
      <cdr:y>0.75925</cdr:y>
    </cdr:to>
    <cdr:sp macro="" textlink="'Salida Prod'!$M$116">
      <cdr:nvSpPr>
        <cdr:cNvPr id="3090" name="Text 1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6092190" y="4056678"/>
          <a:ext cx="704088" cy="2291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50894727-95E6-4903-9BBD-C1A8CBA471F3}" type="TxLink">
            <a:rPr lang="en-US" sz="12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 </a:t>
          </a:fld>
          <a:endParaRPr lang="de-DE" sz="1200" b="1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0.6665</cdr:x>
      <cdr:y>0.75925</cdr:y>
    </cdr:from>
    <cdr:to>
      <cdr:x>0.7435</cdr:x>
      <cdr:y>0.7995</cdr:y>
    </cdr:to>
    <cdr:sp macro="" textlink="'Salida Prod'!$AD$116">
      <cdr:nvSpPr>
        <cdr:cNvPr id="3101" name="Text 29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6092190" y="4285821"/>
          <a:ext cx="704088" cy="2291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E6F03C3F-DACC-42ED-AEB7-644F7A8FCAF7}" type="TxLink">
            <a:rPr lang="en-US" sz="12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0,0</a:t>
          </a:fld>
          <a:endParaRPr lang="de-DE" sz="1200" b="0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0.48975</cdr:x>
      <cdr:y>0.72475</cdr:y>
    </cdr:from>
    <cdr:to>
      <cdr:x>0.5625</cdr:x>
      <cdr:y>0.7655</cdr:y>
    </cdr:to>
    <cdr:sp macro="" textlink="'Salida Prod'!$C$116">
      <cdr:nvSpPr>
        <cdr:cNvPr id="3088" name="Text 16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4473702" y="4092040"/>
          <a:ext cx="667512" cy="2291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CD8DFEBB-3A22-4B00-AE65-7B4863FE3FCA}" type="TxLink">
            <a:rPr lang="en-U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pPr algn="ctr" rtl="0">
              <a:defRPr sz="1000"/>
            </a:pPr>
            <a:t> </a:t>
          </a:fld>
          <a:endParaRPr lang="de-DE" sz="1200" b="1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0.48975</cdr:x>
      <cdr:y>0.7655</cdr:y>
    </cdr:from>
    <cdr:to>
      <cdr:x>0.5625</cdr:x>
      <cdr:y>0.806</cdr:y>
    </cdr:to>
    <cdr:sp macro="" textlink="'Salida Prod'!$AC$116">
      <cdr:nvSpPr>
        <cdr:cNvPr id="3100" name="Text 28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4473702" y="4321183"/>
          <a:ext cx="667512" cy="2291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2860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620B25A0-7F9E-48C5-8473-CB2F0141FBFC}" type="TxLink">
            <a:rPr lang="en-US" sz="12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pPr algn="ctr" rtl="0">
              <a:defRPr sz="1000"/>
            </a:pPr>
            <a:t>100,0</a:t>
          </a:fld>
          <a:endParaRPr lang="de-DE" sz="1200" b="0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absSizeAnchor xmlns:cdr="http://schemas.openxmlformats.org/drawingml/2006/chartDrawing">
    <cdr:from>
      <cdr:x>0.86851</cdr:x>
      <cdr:y>0.92343</cdr:y>
    </cdr:from>
    <cdr:ext cx="1004378" cy="239809"/>
    <cdr:sp macro="" textlink="Traducción!$B$22">
      <cdr:nvSpPr>
        <cdr:cNvPr id="18" name="Textfeld 17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>
          <a:off x="8088723" y="5212249"/>
          <a:ext cx="1004378" cy="23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4C02B533-D2C3-4638-8CB2-07D5971D73BF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Sem.   de vida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absSizeAnchor>
  <cdr:absSizeAnchor xmlns:cdr="http://schemas.openxmlformats.org/drawingml/2006/chartDrawing">
    <cdr:from>
      <cdr:x>0.0071</cdr:x>
      <cdr:y>0.45701</cdr:y>
    </cdr:from>
    <cdr:ext cx="280205" cy="227435"/>
    <cdr:sp macro="" textlink="Traducción!$B$5">
      <cdr:nvSpPr>
        <cdr:cNvPr id="19" name="Textfeld 18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 rot="16200000">
          <a:off x="91307" y="2559328"/>
          <a:ext cx="227435" cy="2802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7C5AE071-50FA-4FB5-BC44-0622AE167000}" type="TxLink">
            <a:rPr lang="de-DE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 </a:t>
          </a:fld>
          <a:endParaRPr lang="de-DE" sz="1200"/>
        </a:p>
      </cdr:txBody>
    </cdr:sp>
  </cdr:absSizeAnchor>
  <cdr:relSizeAnchor xmlns:cdr="http://schemas.openxmlformats.org/drawingml/2006/chartDrawing">
    <cdr:from>
      <cdr:x>0.01491</cdr:x>
      <cdr:y>0.25976</cdr:y>
    </cdr:from>
    <cdr:to>
      <cdr:x>0.03522</cdr:x>
      <cdr:y>0.62739</cdr:y>
    </cdr:to>
    <cdr:sp macro="" textlink="Traducción!$B$99">
      <cdr:nvSpPr>
        <cdr:cNvPr id="26" name="Textfeld 25"/>
        <cdr:cNvSpPr txBox="1"/>
      </cdr:nvSpPr>
      <cdr:spPr>
        <a:xfrm xmlns:a="http://schemas.openxmlformats.org/drawingml/2006/main">
          <a:off x="134055" y="1466849"/>
          <a:ext cx="183445" cy="207433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wrap="none" rtlCol="0" anchor="ctr" anchorCtr="1"/>
        <a:lstStyle xmlns:a="http://schemas.openxmlformats.org/drawingml/2006/main"/>
        <a:p xmlns:a="http://schemas.openxmlformats.org/drawingml/2006/main">
          <a:fld id="{F4396D00-4A9C-43F3-9138-1CEE31E26F55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Producción/A.D. - Viabilidad</a:t>
          </a:fld>
          <a:endParaRPr lang="de-DE" sz="1200"/>
        </a:p>
      </cdr:txBody>
    </cdr:sp>
  </cdr:relSizeAnchor>
  <cdr:relSizeAnchor xmlns:cdr="http://schemas.openxmlformats.org/drawingml/2006/chartDrawing">
    <cdr:from>
      <cdr:x>0.0468</cdr:x>
      <cdr:y>0.28482</cdr:y>
    </cdr:from>
    <cdr:to>
      <cdr:x>0.06686</cdr:x>
      <cdr:y>0.60881</cdr:y>
    </cdr:to>
    <cdr:sp macro="" textlink="Traducción!$B$100">
      <cdr:nvSpPr>
        <cdr:cNvPr id="27" name="Textfeld 1"/>
        <cdr:cNvSpPr txBox="1"/>
      </cdr:nvSpPr>
      <cdr:spPr>
        <a:xfrm xmlns:a="http://schemas.openxmlformats.org/drawingml/2006/main">
          <a:off x="423333" y="1608668"/>
          <a:ext cx="183445" cy="18273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="vert270" wrap="none" rtlCol="0" anchor="ctr" anchorCtr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5958B410-D7BD-4E0D-990A-56F444AFBD6C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Peso de Huevo - Masa de Huevo (g)</a:t>
          </a:fld>
          <a:endParaRPr lang="de-DE" sz="12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44000" cy="5650089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0.11876</cdr:x>
      <cdr:y>0.90759</cdr:y>
    </cdr:from>
    <cdr:to>
      <cdr:x>0.21851</cdr:x>
      <cdr:y>0.99451</cdr:y>
    </cdr:to>
    <cdr:sp macro="" textlink="Traducción!$B$106">
      <cdr:nvSpPr>
        <cdr:cNvPr id="6" name="Textfeld 5"/>
        <cdr:cNvSpPr txBox="1"/>
      </cdr:nvSpPr>
      <cdr:spPr>
        <a:xfrm xmlns:a="http://schemas.openxmlformats.org/drawingml/2006/main">
          <a:off x="1065390" y="5143501"/>
          <a:ext cx="914400" cy="486127"/>
        </a:xfrm>
        <a:prstGeom xmlns:a="http://schemas.openxmlformats.org/drawingml/2006/main" prst="rect">
          <a:avLst/>
        </a:prstGeom>
        <a:solidFill xmlns:a="http://schemas.openxmlformats.org/drawingml/2006/main">
          <a:srgbClr val="FFFDDB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fld id="{8C4DD982-30B9-44D9-B1CA-E47897A76242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I.C. acum.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0.11525</cdr:x>
      <cdr:y>0.956</cdr:y>
    </cdr:from>
    <cdr:to>
      <cdr:x>0.19625</cdr:x>
      <cdr:y>0.998</cdr:y>
    </cdr:to>
    <cdr:sp macro="" textlink="'Salida pc,cp,ca,ic'!$Q$81">
      <cdr:nvSpPr>
        <cdr:cNvPr id="4103" name="Text 7"/>
        <cdr:cNvSpPr txBox="1">
          <a:spLocks xmlns:a="http://schemas.openxmlformats.org/drawingml/2006/main" noChangeArrowheads="1" noTextEdit="1"/>
        </cdr:cNvSpPr>
      </cdr:nvSpPr>
      <cdr:spPr bwMode="auto">
        <a:xfrm xmlns:a="http://schemas.openxmlformats.org/drawingml/2006/main">
          <a:off x="1042416" y="5408905"/>
          <a:ext cx="742950" cy="23762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36576" tIns="27432" rIns="36576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B57E5EB8-A83B-4795-9C3C-C433C1AF1356}" type="TxLink">
            <a:rPr lang="en-US" sz="1200" b="1" i="0" u="none" strike="noStrike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pPr algn="ctr" rtl="0">
              <a:defRPr sz="1000"/>
            </a:pPr>
            <a:t> </a:t>
          </a:fld>
          <a:endParaRPr lang="de-DE" sz="1800" b="1" i="0" u="none" strike="noStrike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0.82998</cdr:x>
      <cdr:y>0.90946</cdr:y>
    </cdr:from>
    <cdr:to>
      <cdr:x>0.9399</cdr:x>
      <cdr:y>0.95195</cdr:y>
    </cdr:to>
    <cdr:sp macro="" textlink="Traducción!$B$22">
      <cdr:nvSpPr>
        <cdr:cNvPr id="4" name="Textfeld 3"/>
        <cdr:cNvSpPr txBox="1"/>
      </cdr:nvSpPr>
      <cdr:spPr>
        <a:xfrm xmlns:a="http://schemas.openxmlformats.org/drawingml/2006/main">
          <a:off x="7583481" y="5133396"/>
          <a:ext cx="1004378" cy="23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B6AD7C81-A0C7-4871-A452-FB964B826070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Sem.   de vida</a:t>
          </a:fld>
          <a:endParaRPr lang="de-DE" sz="1200" b="1">
            <a:latin typeface="Arial" pitchFamily="34" charset="0"/>
            <a:cs typeface="Arial" pitchFamily="34" charset="0"/>
          </a:endParaRPr>
        </a:p>
      </cdr:txBody>
    </cdr:sp>
  </cdr:relSizeAnchor>
  <cdr:absSizeAnchor xmlns:cdr="http://schemas.openxmlformats.org/drawingml/2006/chartDrawing">
    <cdr:from>
      <cdr:x>0.96404</cdr:x>
      <cdr:y>0.33686</cdr:y>
    </cdr:from>
    <cdr:ext cx="269369" cy="1664623"/>
    <cdr:sp macro="" textlink="Traducción!$B$78">
      <cdr:nvSpPr>
        <cdr:cNvPr id="5" name="Textfeld 4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 rot="16200000">
          <a:off x="8110752" y="2598996"/>
          <a:ext cx="1664623" cy="2693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BA02A5CA-EDD6-4A6F-AFAA-AA89184BBE4F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Índice de Conversión</a:t>
          </a:fld>
          <a:endParaRPr lang="de-DE" sz="1200">
            <a:latin typeface="Arial" pitchFamily="34" charset="0"/>
            <a:cs typeface="Arial" pitchFamily="34" charset="0"/>
          </a:endParaRPr>
        </a:p>
      </cdr:txBody>
    </cdr:sp>
  </cdr:absSizeAnchor>
  <cdr:absSizeAnchor xmlns:cdr="http://schemas.openxmlformats.org/drawingml/2006/chartDrawing">
    <cdr:from>
      <cdr:x>0.00934</cdr:x>
      <cdr:y>0.08709</cdr:y>
    </cdr:from>
    <cdr:ext cx="269369" cy="4051365"/>
    <cdr:sp macro="" textlink="Traducción!$B$102">
      <cdr:nvSpPr>
        <cdr:cNvPr id="7" name="Textfeld 6"/>
        <cdr:cNvSpPr txBox="1">
          <a:spLocks xmlns:a="http://schemas.openxmlformats.org/drawingml/2006/main" noChangeAspect="1"/>
        </cdr:cNvSpPr>
      </cdr:nvSpPr>
      <cdr:spPr>
        <a:xfrm xmlns:a="http://schemas.openxmlformats.org/drawingml/2006/main" rot="16200000">
          <a:off x="-1805659" y="2382581"/>
          <a:ext cx="4051365" cy="2693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>
          <a:spAutoFit/>
        </a:bodyPr>
        <a:lstStyle xmlns:a="http://schemas.openxmlformats.org/drawingml/2006/main"/>
        <a:p xmlns:a="http://schemas.openxmlformats.org/drawingml/2006/main">
          <a:fld id="{9F10B75B-732C-49A7-85CF-C0EE5ACF25A7}" type="TxLink"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pPr/>
            <a:t>Peso Corporal (g/10) - Cons. de Pienso y Agua (g/ave/d)</a:t>
          </a:fld>
          <a:endParaRPr lang="de-DE" sz="1200">
            <a:latin typeface="Arial" pitchFamily="34" charset="0"/>
            <a:cs typeface="Arial" pitchFamily="34" charset="0"/>
          </a:endParaRPr>
        </a:p>
      </cdr:txBody>
    </cdr:sp>
  </cdr:abs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4"/>
  <sheetViews>
    <sheetView workbookViewId="0">
      <selection activeCell="B1" sqref="B1"/>
    </sheetView>
  </sheetViews>
  <sheetFormatPr baseColWidth="10" defaultRowHeight="13.2" x14ac:dyDescent="0.25"/>
  <cols>
    <col min="1" max="1" width="20.33203125" customWidth="1"/>
  </cols>
  <sheetData>
    <row r="1" spans="1:11" ht="17.399999999999999" x14ac:dyDescent="0.3">
      <c r="A1" s="5"/>
      <c r="B1" s="3" t="str">
        <f>Traducción!B6</f>
        <v>Cría-Recría</v>
      </c>
      <c r="C1" s="5"/>
      <c r="D1" s="4"/>
      <c r="E1" s="3" t="str">
        <f>Traducción!B4</f>
        <v>LOHMANN BROWN Classic Ponedoras</v>
      </c>
      <c r="F1" s="2"/>
      <c r="G1" s="2"/>
      <c r="H1" s="1"/>
      <c r="I1" s="5"/>
      <c r="J1" s="5"/>
      <c r="K1" s="5"/>
    </row>
    <row r="2" spans="1:11" x14ac:dyDescent="0.25">
      <c r="A2" s="2"/>
      <c r="B2" s="5"/>
      <c r="C2" s="2"/>
      <c r="D2" s="4"/>
      <c r="E2" s="2"/>
      <c r="F2" s="2"/>
      <c r="G2" s="2"/>
      <c r="H2" s="1"/>
      <c r="I2" s="5"/>
      <c r="J2" s="5"/>
      <c r="K2" s="5"/>
    </row>
    <row r="3" spans="1:11" ht="15.6" x14ac:dyDescent="0.3">
      <c r="A3" s="6" t="str">
        <f>Traducción!B8</f>
        <v>País:</v>
      </c>
      <c r="B3" s="304"/>
      <c r="C3" s="92"/>
      <c r="D3" s="13"/>
      <c r="E3" s="5"/>
      <c r="F3" s="5"/>
      <c r="G3" s="7" t="str">
        <f>Traducción!B12</f>
        <v>Fecha de Nacimiento:</v>
      </c>
      <c r="H3" s="5"/>
      <c r="I3" s="6"/>
      <c r="J3" s="193"/>
      <c r="K3" s="13"/>
    </row>
    <row r="4" spans="1:11" ht="15.6" x14ac:dyDescent="0.3">
      <c r="A4" s="6" t="str">
        <f>Traducción!B9</f>
        <v>Proprietario:</v>
      </c>
      <c r="B4" s="304"/>
      <c r="C4" s="92"/>
      <c r="D4" s="13"/>
      <c r="E4" s="5"/>
      <c r="F4" s="5"/>
      <c r="G4" s="7" t="str">
        <f>Traducción!B13</f>
        <v>Fecha de Alojamiento:</v>
      </c>
      <c r="H4" s="5"/>
      <c r="I4" s="6"/>
      <c r="J4" s="194"/>
      <c r="K4" s="13"/>
    </row>
    <row r="5" spans="1:11" ht="15.6" x14ac:dyDescent="0.3">
      <c r="A5" s="6" t="str">
        <f>Traducción!B10</f>
        <v>Granja:</v>
      </c>
      <c r="B5" s="304"/>
      <c r="C5" s="92"/>
      <c r="D5" s="13"/>
      <c r="E5" s="5"/>
      <c r="F5" s="5"/>
      <c r="G5" s="7" t="str">
        <f>Traducción!B14</f>
        <v>No. de Aves Alojadas:</v>
      </c>
      <c r="H5" s="5"/>
      <c r="I5" s="6"/>
      <c r="J5" s="195"/>
      <c r="K5" s="13"/>
    </row>
    <row r="6" spans="1:11" ht="15.6" x14ac:dyDescent="0.3">
      <c r="A6" s="6" t="str">
        <f>Traducción!B11</f>
        <v>Lote:</v>
      </c>
      <c r="B6" s="305"/>
      <c r="C6" s="92"/>
      <c r="D6" s="13"/>
      <c r="E6" s="5"/>
      <c r="F6" s="5"/>
      <c r="G6" s="7"/>
      <c r="H6" s="2"/>
      <c r="I6" s="2"/>
      <c r="J6" s="2"/>
      <c r="K6" s="2"/>
    </row>
    <row r="7" spans="1:11" x14ac:dyDescent="0.25">
      <c r="A7" s="5"/>
      <c r="B7" s="5"/>
      <c r="C7" s="2"/>
      <c r="D7" s="4"/>
      <c r="E7" s="4"/>
      <c r="F7" s="4"/>
      <c r="G7" s="2"/>
      <c r="H7" s="2"/>
      <c r="I7" s="2"/>
      <c r="J7" s="1"/>
      <c r="K7" s="5"/>
    </row>
    <row r="8" spans="1:11" ht="15.6" x14ac:dyDescent="0.3">
      <c r="A8" s="6" t="str">
        <f>Traducción!B15</f>
        <v>Observaciones:</v>
      </c>
      <c r="B8" s="386"/>
      <c r="C8" s="387"/>
      <c r="D8" s="387"/>
      <c r="E8" s="387"/>
      <c r="F8" s="387"/>
      <c r="G8" s="387"/>
      <c r="H8" s="387"/>
      <c r="I8" s="387"/>
      <c r="J8" s="387"/>
      <c r="K8" s="388"/>
    </row>
    <row r="9" spans="1:11" x14ac:dyDescent="0.25">
      <c r="A9" s="2"/>
      <c r="B9" s="389"/>
      <c r="C9" s="390"/>
      <c r="D9" s="390"/>
      <c r="E9" s="390"/>
      <c r="F9" s="390"/>
      <c r="G9" s="390"/>
      <c r="H9" s="390"/>
      <c r="I9" s="390"/>
      <c r="J9" s="390"/>
      <c r="K9" s="391"/>
    </row>
    <row r="10" spans="1:11" x14ac:dyDescent="0.25">
      <c r="A10" s="2"/>
      <c r="B10" s="389"/>
      <c r="C10" s="390"/>
      <c r="D10" s="390"/>
      <c r="E10" s="390"/>
      <c r="F10" s="390"/>
      <c r="G10" s="390"/>
      <c r="H10" s="390"/>
      <c r="I10" s="390"/>
      <c r="J10" s="390"/>
      <c r="K10" s="391"/>
    </row>
    <row r="11" spans="1:11" x14ac:dyDescent="0.25">
      <c r="A11" s="2"/>
      <c r="B11" s="389"/>
      <c r="C11" s="390"/>
      <c r="D11" s="390"/>
      <c r="E11" s="390"/>
      <c r="F11" s="390"/>
      <c r="G11" s="390"/>
      <c r="H11" s="390"/>
      <c r="I11" s="390"/>
      <c r="J11" s="390"/>
      <c r="K11" s="391"/>
    </row>
    <row r="12" spans="1:11" x14ac:dyDescent="0.25">
      <c r="A12" s="2"/>
      <c r="B12" s="389"/>
      <c r="C12" s="390"/>
      <c r="D12" s="390"/>
      <c r="E12" s="390"/>
      <c r="F12" s="390"/>
      <c r="G12" s="390"/>
      <c r="H12" s="390"/>
      <c r="I12" s="390"/>
      <c r="J12" s="390"/>
      <c r="K12" s="391"/>
    </row>
    <row r="13" spans="1:11" x14ac:dyDescent="0.25">
      <c r="A13" s="2"/>
      <c r="B13" s="389"/>
      <c r="C13" s="390"/>
      <c r="D13" s="390"/>
      <c r="E13" s="390"/>
      <c r="F13" s="390"/>
      <c r="G13" s="390"/>
      <c r="H13" s="390"/>
      <c r="I13" s="390"/>
      <c r="J13" s="390"/>
      <c r="K13" s="391"/>
    </row>
    <row r="14" spans="1:11" x14ac:dyDescent="0.25">
      <c r="A14" s="2"/>
      <c r="B14" s="389"/>
      <c r="C14" s="390"/>
      <c r="D14" s="390"/>
      <c r="E14" s="390"/>
      <c r="F14" s="390"/>
      <c r="G14" s="390"/>
      <c r="H14" s="390"/>
      <c r="I14" s="390"/>
      <c r="J14" s="390"/>
      <c r="K14" s="391"/>
    </row>
    <row r="15" spans="1:11" x14ac:dyDescent="0.25">
      <c r="A15" s="2"/>
      <c r="B15" s="389"/>
      <c r="C15" s="390"/>
      <c r="D15" s="390"/>
      <c r="E15" s="390"/>
      <c r="F15" s="390"/>
      <c r="G15" s="390"/>
      <c r="H15" s="390"/>
      <c r="I15" s="390"/>
      <c r="J15" s="390"/>
      <c r="K15" s="391"/>
    </row>
    <row r="16" spans="1:11" x14ac:dyDescent="0.25">
      <c r="A16" s="2"/>
      <c r="B16" s="389"/>
      <c r="C16" s="390"/>
      <c r="D16" s="390"/>
      <c r="E16" s="390"/>
      <c r="F16" s="390"/>
      <c r="G16" s="390"/>
      <c r="H16" s="390"/>
      <c r="I16" s="390"/>
      <c r="J16" s="390"/>
      <c r="K16" s="391"/>
    </row>
    <row r="17" spans="1:11" x14ac:dyDescent="0.25">
      <c r="A17" s="2"/>
      <c r="B17" s="389"/>
      <c r="C17" s="390"/>
      <c r="D17" s="390"/>
      <c r="E17" s="390"/>
      <c r="F17" s="390"/>
      <c r="G17" s="390"/>
      <c r="H17" s="390"/>
      <c r="I17" s="390"/>
      <c r="J17" s="390"/>
      <c r="K17" s="391"/>
    </row>
    <row r="18" spans="1:11" x14ac:dyDescent="0.25">
      <c r="A18" s="2"/>
      <c r="B18" s="389"/>
      <c r="C18" s="390"/>
      <c r="D18" s="390"/>
      <c r="E18" s="390"/>
      <c r="F18" s="390"/>
      <c r="G18" s="390"/>
      <c r="H18" s="390"/>
      <c r="I18" s="390"/>
      <c r="J18" s="390"/>
      <c r="K18" s="391"/>
    </row>
    <row r="19" spans="1:11" x14ac:dyDescent="0.25">
      <c r="A19" s="2"/>
      <c r="B19" s="389"/>
      <c r="C19" s="390"/>
      <c r="D19" s="390"/>
      <c r="E19" s="390"/>
      <c r="F19" s="390"/>
      <c r="G19" s="390"/>
      <c r="H19" s="390"/>
      <c r="I19" s="390"/>
      <c r="J19" s="390"/>
      <c r="K19" s="391"/>
    </row>
    <row r="20" spans="1:11" x14ac:dyDescent="0.25">
      <c r="A20" s="2"/>
      <c r="B20" s="389"/>
      <c r="C20" s="390"/>
      <c r="D20" s="390"/>
      <c r="E20" s="390"/>
      <c r="F20" s="390"/>
      <c r="G20" s="390"/>
      <c r="H20" s="390"/>
      <c r="I20" s="390"/>
      <c r="J20" s="390"/>
      <c r="K20" s="391"/>
    </row>
    <row r="21" spans="1:11" x14ac:dyDescent="0.25">
      <c r="A21" s="2"/>
      <c r="B21" s="392"/>
      <c r="C21" s="393"/>
      <c r="D21" s="393"/>
      <c r="E21" s="393"/>
      <c r="F21" s="393"/>
      <c r="G21" s="393"/>
      <c r="H21" s="393"/>
      <c r="I21" s="393"/>
      <c r="J21" s="393"/>
      <c r="K21" s="394"/>
    </row>
    <row r="22" spans="1:11" x14ac:dyDescent="0.25">
      <c r="A22" s="2"/>
      <c r="B22" s="5"/>
      <c r="C22" s="2"/>
      <c r="D22" s="4"/>
      <c r="E22" s="2"/>
      <c r="F22" s="2"/>
      <c r="G22" s="2"/>
      <c r="H22" s="1"/>
      <c r="I22" s="5"/>
      <c r="J22" s="5"/>
      <c r="K22" s="5"/>
    </row>
    <row r="23" spans="1:11" x14ac:dyDescent="0.25">
      <c r="A23" s="2"/>
      <c r="B23" s="5"/>
      <c r="C23" s="2"/>
      <c r="D23" s="4"/>
      <c r="E23" s="2"/>
      <c r="F23" s="2"/>
      <c r="G23" s="2"/>
      <c r="H23" s="1"/>
      <c r="I23" s="5"/>
      <c r="J23" s="5"/>
      <c r="K23" s="5"/>
    </row>
    <row r="24" spans="1:11" x14ac:dyDescent="0.25">
      <c r="A24" s="2"/>
      <c r="B24" s="5"/>
      <c r="C24" s="2"/>
      <c r="D24" s="4"/>
      <c r="E24" s="2"/>
      <c r="F24" s="2"/>
      <c r="G24" s="2"/>
      <c r="H24" s="1"/>
      <c r="I24" s="5"/>
      <c r="J24" s="5"/>
      <c r="K24" s="5"/>
    </row>
    <row r="25" spans="1:11" ht="17.399999999999999" x14ac:dyDescent="0.3">
      <c r="A25" s="2"/>
      <c r="B25" s="3" t="str">
        <f>Traducción!B7</f>
        <v>Producción</v>
      </c>
      <c r="C25" s="5"/>
      <c r="D25" s="4"/>
      <c r="E25" s="3" t="str">
        <f>Traducción!B4</f>
        <v>LOHMANN BROWN Classic Ponedoras</v>
      </c>
      <c r="F25" s="2"/>
      <c r="G25" s="2"/>
      <c r="H25" s="1"/>
      <c r="I25" s="5"/>
      <c r="J25" s="5"/>
      <c r="K25" s="5"/>
    </row>
    <row r="26" spans="1:11" x14ac:dyDescent="0.25">
      <c r="A26" s="2"/>
      <c r="B26" s="5"/>
      <c r="C26" s="2"/>
      <c r="D26" s="4"/>
      <c r="E26" s="2"/>
      <c r="F26" s="2"/>
      <c r="G26" s="2"/>
      <c r="H26" s="1"/>
      <c r="I26" s="5"/>
      <c r="J26" s="5"/>
      <c r="K26" s="5"/>
    </row>
    <row r="27" spans="1:11" ht="15.6" x14ac:dyDescent="0.3">
      <c r="A27" s="7" t="str">
        <f>Traducción!B12</f>
        <v>Fecha de Nacimiento:</v>
      </c>
      <c r="B27" s="5"/>
      <c r="C27" s="6"/>
      <c r="D27" s="395" t="str">
        <f>IF($J$3&gt;0,J3,"")</f>
        <v/>
      </c>
      <c r="E27" s="396"/>
      <c r="F27" s="2"/>
      <c r="G27" s="5"/>
      <c r="H27" s="5"/>
      <c r="I27" s="5"/>
      <c r="J27" s="5"/>
      <c r="K27" s="5"/>
    </row>
    <row r="28" spans="1:11" ht="15.6" x14ac:dyDescent="0.3">
      <c r="A28" s="7" t="str">
        <f>Traducción!B16</f>
        <v>Fecha 18 Sem. + 0:</v>
      </c>
      <c r="B28" s="5"/>
      <c r="C28" s="6"/>
      <c r="D28" s="395">
        <f>IF(ISNUMBER(J3),J3+126, )</f>
        <v>0</v>
      </c>
      <c r="E28" s="396"/>
      <c r="F28" s="2"/>
      <c r="G28" s="7" t="str">
        <f>Traducción!B13</f>
        <v>Fecha de Alojamiento:</v>
      </c>
      <c r="H28" s="5"/>
      <c r="I28" s="6"/>
      <c r="J28" s="398">
        <f>D28</f>
        <v>0</v>
      </c>
      <c r="K28" s="396"/>
    </row>
    <row r="29" spans="1:11" ht="15.6" x14ac:dyDescent="0.3">
      <c r="A29" s="7" t="str">
        <f>Traducción!B17</f>
        <v>No. de Aves con 18 Sem.:</v>
      </c>
      <c r="B29" s="5"/>
      <c r="C29" s="6"/>
      <c r="D29" s="397">
        <f>'Salida Recría'!C26</f>
        <v>0</v>
      </c>
      <c r="E29" s="396"/>
      <c r="F29" s="2"/>
      <c r="G29" s="7" t="str">
        <f>Traducción!B14</f>
        <v>No. de Aves Alojadas:</v>
      </c>
      <c r="H29" s="5"/>
      <c r="I29" s="6"/>
      <c r="J29" s="399">
        <f>'Salida Recría'!C28</f>
        <v>0</v>
      </c>
      <c r="K29" s="396"/>
    </row>
    <row r="30" spans="1:11" x14ac:dyDescent="0.25">
      <c r="A30" s="2"/>
      <c r="B30" s="5"/>
      <c r="C30" s="2"/>
      <c r="D30" s="4"/>
      <c r="E30" s="2"/>
      <c r="F30" s="2"/>
      <c r="G30" s="2"/>
      <c r="H30" s="1"/>
      <c r="I30" s="5"/>
      <c r="J30" s="5"/>
      <c r="K30" s="5"/>
    </row>
    <row r="31" spans="1:11" ht="15.6" x14ac:dyDescent="0.3">
      <c r="A31" s="6" t="str">
        <f>Traducción!B15</f>
        <v>Observaciones:</v>
      </c>
      <c r="B31" s="386"/>
      <c r="C31" s="387"/>
      <c r="D31" s="387"/>
      <c r="E31" s="387"/>
      <c r="F31" s="387"/>
      <c r="G31" s="387"/>
      <c r="H31" s="387"/>
      <c r="I31" s="387"/>
      <c r="J31" s="387"/>
      <c r="K31" s="388"/>
    </row>
    <row r="32" spans="1:11" x14ac:dyDescent="0.25">
      <c r="A32" s="2"/>
      <c r="B32" s="389"/>
      <c r="C32" s="390"/>
      <c r="D32" s="390"/>
      <c r="E32" s="390"/>
      <c r="F32" s="390"/>
      <c r="G32" s="390"/>
      <c r="H32" s="390"/>
      <c r="I32" s="390"/>
      <c r="J32" s="390"/>
      <c r="K32" s="391"/>
    </row>
    <row r="33" spans="1:11" x14ac:dyDescent="0.25">
      <c r="A33" s="2"/>
      <c r="B33" s="389"/>
      <c r="C33" s="390"/>
      <c r="D33" s="390"/>
      <c r="E33" s="390"/>
      <c r="F33" s="390"/>
      <c r="G33" s="390"/>
      <c r="H33" s="390"/>
      <c r="I33" s="390"/>
      <c r="J33" s="390"/>
      <c r="K33" s="391"/>
    </row>
    <row r="34" spans="1:11" x14ac:dyDescent="0.25">
      <c r="A34" s="2"/>
      <c r="B34" s="389"/>
      <c r="C34" s="390"/>
      <c r="D34" s="390"/>
      <c r="E34" s="390"/>
      <c r="F34" s="390"/>
      <c r="G34" s="390"/>
      <c r="H34" s="390"/>
      <c r="I34" s="390"/>
      <c r="J34" s="390"/>
      <c r="K34" s="391"/>
    </row>
    <row r="35" spans="1:11" x14ac:dyDescent="0.25">
      <c r="A35" s="2"/>
      <c r="B35" s="389"/>
      <c r="C35" s="390"/>
      <c r="D35" s="390"/>
      <c r="E35" s="390"/>
      <c r="F35" s="390"/>
      <c r="G35" s="390"/>
      <c r="H35" s="390"/>
      <c r="I35" s="390"/>
      <c r="J35" s="390"/>
      <c r="K35" s="391"/>
    </row>
    <row r="36" spans="1:11" x14ac:dyDescent="0.25">
      <c r="A36" s="2"/>
      <c r="B36" s="389"/>
      <c r="C36" s="390"/>
      <c r="D36" s="390"/>
      <c r="E36" s="390"/>
      <c r="F36" s="390"/>
      <c r="G36" s="390"/>
      <c r="H36" s="390"/>
      <c r="I36" s="390"/>
      <c r="J36" s="390"/>
      <c r="K36" s="391"/>
    </row>
    <row r="37" spans="1:11" x14ac:dyDescent="0.25">
      <c r="A37" s="2"/>
      <c r="B37" s="389"/>
      <c r="C37" s="390"/>
      <c r="D37" s="390"/>
      <c r="E37" s="390"/>
      <c r="F37" s="390"/>
      <c r="G37" s="390"/>
      <c r="H37" s="390"/>
      <c r="I37" s="390"/>
      <c r="J37" s="390"/>
      <c r="K37" s="391"/>
    </row>
    <row r="38" spans="1:11" x14ac:dyDescent="0.25">
      <c r="A38" s="2"/>
      <c r="B38" s="389"/>
      <c r="C38" s="390"/>
      <c r="D38" s="390"/>
      <c r="E38" s="390"/>
      <c r="F38" s="390"/>
      <c r="G38" s="390"/>
      <c r="H38" s="390"/>
      <c r="I38" s="390"/>
      <c r="J38" s="390"/>
      <c r="K38" s="391"/>
    </row>
    <row r="39" spans="1:11" x14ac:dyDescent="0.25">
      <c r="A39" s="2"/>
      <c r="B39" s="389"/>
      <c r="C39" s="390"/>
      <c r="D39" s="390"/>
      <c r="E39" s="390"/>
      <c r="F39" s="390"/>
      <c r="G39" s="390"/>
      <c r="H39" s="390"/>
      <c r="I39" s="390"/>
      <c r="J39" s="390"/>
      <c r="K39" s="391"/>
    </row>
    <row r="40" spans="1:11" x14ac:dyDescent="0.25">
      <c r="A40" s="2"/>
      <c r="B40" s="389"/>
      <c r="C40" s="390"/>
      <c r="D40" s="390"/>
      <c r="E40" s="390"/>
      <c r="F40" s="390"/>
      <c r="G40" s="390"/>
      <c r="H40" s="390"/>
      <c r="I40" s="390"/>
      <c r="J40" s="390"/>
      <c r="K40" s="391"/>
    </row>
    <row r="41" spans="1:11" x14ac:dyDescent="0.25">
      <c r="A41" s="2"/>
      <c r="B41" s="389"/>
      <c r="C41" s="390"/>
      <c r="D41" s="390"/>
      <c r="E41" s="390"/>
      <c r="F41" s="390"/>
      <c r="G41" s="390"/>
      <c r="H41" s="390"/>
      <c r="I41" s="390"/>
      <c r="J41" s="390"/>
      <c r="K41" s="391"/>
    </row>
    <row r="42" spans="1:11" x14ac:dyDescent="0.25">
      <c r="A42" s="2"/>
      <c r="B42" s="389"/>
      <c r="C42" s="390"/>
      <c r="D42" s="390"/>
      <c r="E42" s="390"/>
      <c r="F42" s="390"/>
      <c r="G42" s="390"/>
      <c r="H42" s="390"/>
      <c r="I42" s="390"/>
      <c r="J42" s="390"/>
      <c r="K42" s="391"/>
    </row>
    <row r="43" spans="1:11" x14ac:dyDescent="0.25">
      <c r="A43" s="2"/>
      <c r="B43" s="389"/>
      <c r="C43" s="390"/>
      <c r="D43" s="390"/>
      <c r="E43" s="390"/>
      <c r="F43" s="390"/>
      <c r="G43" s="390"/>
      <c r="H43" s="390"/>
      <c r="I43" s="390"/>
      <c r="J43" s="390"/>
      <c r="K43" s="391"/>
    </row>
    <row r="44" spans="1:11" x14ac:dyDescent="0.25">
      <c r="A44" s="2"/>
      <c r="B44" s="392"/>
      <c r="C44" s="393"/>
      <c r="D44" s="393"/>
      <c r="E44" s="393"/>
      <c r="F44" s="393"/>
      <c r="G44" s="393"/>
      <c r="H44" s="393"/>
      <c r="I44" s="393"/>
      <c r="J44" s="393"/>
      <c r="K44" s="394"/>
    </row>
  </sheetData>
  <sheetProtection password="EA71" sheet="1"/>
  <mergeCells count="7">
    <mergeCell ref="B8:K21"/>
    <mergeCell ref="B31:K44"/>
    <mergeCell ref="D27:E27"/>
    <mergeCell ref="D28:E28"/>
    <mergeCell ref="D29:E29"/>
    <mergeCell ref="J28:K28"/>
    <mergeCell ref="J29:K29"/>
  </mergeCells>
  <printOptions horizontalCentered="1" verticalCentered="1"/>
  <pageMargins left="0.70866141732283472" right="0.70866141732283472" top="0.78740157480314965" bottom="0.78740157480314965" header="0.31496062992125984" footer="0.31496062992125984"/>
  <pageSetup paperSize="9" scale="83" orientation="landscape" r:id="rId1"/>
  <headerFooter>
    <oddFooter>&amp;Lltzaf0915&amp;R&amp;12&amp;F,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161"/>
  <sheetViews>
    <sheetView zoomScaleNormal="100" workbookViewId="0">
      <pane xSplit="2" ySplit="1" topLeftCell="C2" activePane="bottomRight" state="frozen"/>
      <selection pane="topRight" activeCell="C1" sqref="C1"/>
      <selection pane="bottomLeft" activeCell="A11" sqref="A11"/>
      <selection pane="bottomRight" activeCell="C2" sqref="C2"/>
    </sheetView>
  </sheetViews>
  <sheetFormatPr baseColWidth="10" defaultColWidth="11.44140625" defaultRowHeight="13.2" x14ac:dyDescent="0.25"/>
  <cols>
    <col min="1" max="1" width="11.6640625" style="322" customWidth="1"/>
    <col min="2" max="2" width="9.33203125" style="161" customWidth="1"/>
    <col min="3" max="3" width="10.44140625" style="303" customWidth="1"/>
    <col min="4" max="4" width="10.44140625" style="290" customWidth="1"/>
    <col min="5" max="6" width="10.44140625" style="297" customWidth="1"/>
    <col min="7" max="7" width="10.44140625" style="292" customWidth="1"/>
    <col min="8" max="9" width="10.44140625" style="160" customWidth="1"/>
    <col min="10" max="10" width="43.5546875" style="160" customWidth="1"/>
    <col min="11" max="16384" width="11.44140625" style="160"/>
  </cols>
  <sheetData>
    <row r="1" spans="1:256" s="166" customFormat="1" ht="39.6" x14ac:dyDescent="0.25">
      <c r="A1" s="321" t="str">
        <f>Traducción!B20</f>
        <v>Fecha</v>
      </c>
      <c r="B1" s="213" t="str">
        <f>Traducción!B21</f>
        <v>Edad (días)</v>
      </c>
      <c r="C1" s="298" t="str">
        <f>Traducción!B25</f>
        <v>No. de Pollitas Muertas</v>
      </c>
      <c r="D1" s="289" t="str">
        <f>Traducción!B28</f>
        <v>Peso Corporal (g)</v>
      </c>
      <c r="E1" s="293" t="str">
        <f>Traducción!B29</f>
        <v>Consumo de Pienso (kg/d)</v>
      </c>
      <c r="F1" s="293" t="str">
        <f>Traducción!B32</f>
        <v>Consumo de Agua (l/d)</v>
      </c>
      <c r="G1" s="291" t="str">
        <f>Traducción!B35</f>
        <v>Uniform.  (%)</v>
      </c>
      <c r="H1" s="203" t="str">
        <f>Traducción!B36</f>
        <v>Otro parám.</v>
      </c>
      <c r="I1" s="203" t="str">
        <f>Traducción!B36</f>
        <v>Otro parám.</v>
      </c>
      <c r="J1" s="214" t="str">
        <f>Traducción!B15</f>
        <v>Observaciones:</v>
      </c>
      <c r="K1" s="38" t="s">
        <v>11</v>
      </c>
    </row>
    <row r="2" spans="1:256" s="166" customFormat="1" x14ac:dyDescent="0.25">
      <c r="A2" s="325">
        <f>IF(Info!$J$3&gt;0,Info!$J$3+B2, )</f>
        <v>0</v>
      </c>
      <c r="B2" s="215">
        <v>1</v>
      </c>
      <c r="C2" s="299"/>
      <c r="D2" s="211"/>
      <c r="E2" s="294"/>
      <c r="F2" s="294"/>
      <c r="G2" s="211"/>
      <c r="H2" s="211"/>
      <c r="I2" s="211"/>
      <c r="J2" s="204"/>
      <c r="K2" s="38"/>
    </row>
    <row r="3" spans="1:256" s="166" customFormat="1" x14ac:dyDescent="0.25">
      <c r="A3" s="325">
        <f>IF(Info!$J$3&gt;0,Info!$J$3+B3, )</f>
        <v>0</v>
      </c>
      <c r="B3" s="215">
        <v>2</v>
      </c>
      <c r="C3" s="299"/>
      <c r="D3" s="211"/>
      <c r="E3" s="294"/>
      <c r="F3" s="294"/>
      <c r="G3" s="211"/>
      <c r="H3" s="211"/>
      <c r="I3" s="211"/>
      <c r="J3" s="205"/>
      <c r="K3" s="38"/>
    </row>
    <row r="4" spans="1:256" s="166" customFormat="1" x14ac:dyDescent="0.25">
      <c r="A4" s="325">
        <f>IF(Info!$J$3&gt;0,Info!$J$3+B4, )</f>
        <v>0</v>
      </c>
      <c r="B4" s="215">
        <v>3</v>
      </c>
      <c r="C4" s="299"/>
      <c r="D4" s="211"/>
      <c r="E4" s="294"/>
      <c r="F4" s="294"/>
      <c r="G4" s="211"/>
      <c r="H4" s="211"/>
      <c r="I4" s="211"/>
      <c r="J4" s="205"/>
      <c r="K4" s="38"/>
    </row>
    <row r="5" spans="1:256" s="166" customFormat="1" x14ac:dyDescent="0.25">
      <c r="A5" s="325">
        <f>IF(Info!$J$3&gt;0,Info!$J$3+B5, )</f>
        <v>0</v>
      </c>
      <c r="B5" s="215">
        <v>4</v>
      </c>
      <c r="C5" s="299"/>
      <c r="D5" s="211"/>
      <c r="E5" s="294"/>
      <c r="F5" s="294"/>
      <c r="G5" s="211"/>
      <c r="H5" s="211"/>
      <c r="I5" s="211"/>
      <c r="J5" s="205"/>
      <c r="K5" s="38"/>
    </row>
    <row r="6" spans="1:256" s="166" customFormat="1" x14ac:dyDescent="0.25">
      <c r="A6" s="325">
        <f>IF(Info!$J$3&gt;0,Info!$J$3+B6, )</f>
        <v>0</v>
      </c>
      <c r="B6" s="215">
        <v>5</v>
      </c>
      <c r="C6" s="299"/>
      <c r="D6" s="211"/>
      <c r="E6" s="294"/>
      <c r="F6" s="294"/>
      <c r="G6" s="211"/>
      <c r="H6" s="211"/>
      <c r="I6" s="211"/>
      <c r="J6" s="205"/>
      <c r="K6" s="38"/>
    </row>
    <row r="7" spans="1:256" s="166" customFormat="1" x14ac:dyDescent="0.25">
      <c r="A7" s="325">
        <f>IF(Info!$J$3&gt;0,Info!$J$3+B7, )</f>
        <v>0</v>
      </c>
      <c r="B7" s="215">
        <v>6</v>
      </c>
      <c r="C7" s="299"/>
      <c r="D7" s="211"/>
      <c r="E7" s="294"/>
      <c r="F7" s="294"/>
      <c r="G7" s="211"/>
      <c r="H7" s="211"/>
      <c r="I7" s="211"/>
      <c r="J7" s="205"/>
      <c r="K7" s="38"/>
    </row>
    <row r="8" spans="1:256" s="166" customFormat="1" x14ac:dyDescent="0.25">
      <c r="A8" s="325">
        <f>IF(Info!$J$3&gt;0,Info!$J$3+B8, )</f>
        <v>0</v>
      </c>
      <c r="B8" s="215">
        <v>7</v>
      </c>
      <c r="C8" s="300"/>
      <c r="D8" s="212"/>
      <c r="E8" s="295"/>
      <c r="F8" s="295"/>
      <c r="G8" s="212"/>
      <c r="H8" s="212"/>
      <c r="I8" s="212"/>
      <c r="J8" s="206"/>
      <c r="K8" s="38"/>
    </row>
    <row r="9" spans="1:256" s="201" customFormat="1" ht="13.5" customHeight="1" x14ac:dyDescent="0.25">
      <c r="A9" s="326">
        <f>A8</f>
        <v>0</v>
      </c>
      <c r="B9" s="207" t="str">
        <f>Traducción!$B$24&amp;" 1"</f>
        <v>Sem. 1</v>
      </c>
      <c r="C9" s="301">
        <f>SUM(C2:C8)</f>
        <v>0</v>
      </c>
      <c r="D9" s="288">
        <f>IFERROR(AVERAGE(D2:D8), )</f>
        <v>0</v>
      </c>
      <c r="E9" s="296">
        <f>SUM(E2:E8)</f>
        <v>0</v>
      </c>
      <c r="F9" s="296">
        <f>SUM(F2:F8)</f>
        <v>0</v>
      </c>
      <c r="G9" s="288">
        <f>IFERROR(AVERAGE(G2:G8), )</f>
        <v>0</v>
      </c>
      <c r="H9" s="210">
        <f>IFERROR(AVERAGE(H2:H8), )</f>
        <v>0</v>
      </c>
      <c r="I9" s="210">
        <f>IFERROR(AVERAGE(I2:I8), )</f>
        <v>0</v>
      </c>
      <c r="J9" s="202"/>
      <c r="K9" s="38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  <c r="BK9" s="166"/>
      <c r="BL9" s="166"/>
      <c r="BM9" s="166"/>
      <c r="BN9" s="166"/>
      <c r="BO9" s="166"/>
      <c r="BP9" s="166"/>
      <c r="BQ9" s="166"/>
      <c r="BR9" s="166"/>
      <c r="BS9" s="166"/>
      <c r="BT9" s="166"/>
      <c r="BU9" s="166"/>
      <c r="BV9" s="166"/>
      <c r="BW9" s="166"/>
      <c r="BX9" s="166"/>
      <c r="BY9" s="166"/>
      <c r="BZ9" s="166"/>
      <c r="CA9" s="166"/>
      <c r="CB9" s="166"/>
      <c r="CC9" s="166"/>
      <c r="CD9" s="166"/>
      <c r="CE9" s="166"/>
      <c r="CF9" s="166"/>
      <c r="CG9" s="166"/>
      <c r="CH9" s="166"/>
      <c r="CI9" s="166"/>
      <c r="CJ9" s="166"/>
      <c r="CK9" s="166"/>
      <c r="CL9" s="166"/>
      <c r="CM9" s="166"/>
      <c r="CN9" s="166"/>
      <c r="CO9" s="166"/>
      <c r="CP9" s="166"/>
      <c r="CQ9" s="166"/>
      <c r="CR9" s="166"/>
      <c r="CS9" s="166"/>
      <c r="CT9" s="166"/>
      <c r="CU9" s="166"/>
      <c r="CV9" s="166"/>
      <c r="CW9" s="166"/>
      <c r="CX9" s="166"/>
      <c r="CY9" s="166"/>
      <c r="CZ9" s="166"/>
      <c r="DA9" s="166"/>
      <c r="DB9" s="166"/>
      <c r="DC9" s="166"/>
      <c r="DD9" s="166"/>
      <c r="DE9" s="166"/>
      <c r="DF9" s="166"/>
      <c r="DG9" s="166"/>
      <c r="DH9" s="166"/>
      <c r="DI9" s="166"/>
      <c r="DJ9" s="166"/>
      <c r="DK9" s="166"/>
      <c r="DL9" s="166"/>
      <c r="DM9" s="166"/>
      <c r="DN9" s="166"/>
      <c r="DO9" s="166"/>
      <c r="DP9" s="166"/>
      <c r="DQ9" s="166"/>
      <c r="DR9" s="166"/>
      <c r="DS9" s="166"/>
      <c r="DT9" s="166"/>
      <c r="DU9" s="166"/>
      <c r="DV9" s="166"/>
      <c r="DW9" s="166"/>
      <c r="DX9" s="166"/>
      <c r="DY9" s="166"/>
      <c r="DZ9" s="166"/>
      <c r="EA9" s="166"/>
      <c r="EB9" s="166"/>
      <c r="EC9" s="166"/>
      <c r="ED9" s="166"/>
      <c r="EE9" s="166"/>
      <c r="EF9" s="166"/>
      <c r="EG9" s="166"/>
      <c r="EH9" s="166"/>
      <c r="EI9" s="166"/>
      <c r="EJ9" s="166"/>
      <c r="EK9" s="166"/>
      <c r="EL9" s="166"/>
      <c r="EM9" s="166"/>
      <c r="EN9" s="166"/>
      <c r="EO9" s="166"/>
      <c r="EP9" s="166"/>
      <c r="EQ9" s="166"/>
      <c r="ER9" s="166"/>
      <c r="ES9" s="166"/>
      <c r="ET9" s="166"/>
      <c r="EU9" s="166"/>
      <c r="EV9" s="166"/>
      <c r="EW9" s="166"/>
      <c r="EX9" s="166"/>
      <c r="EY9" s="166"/>
      <c r="EZ9" s="166"/>
      <c r="FA9" s="166"/>
      <c r="FB9" s="166"/>
      <c r="FC9" s="166"/>
      <c r="FD9" s="166"/>
      <c r="FE9" s="166"/>
      <c r="FF9" s="166"/>
      <c r="FG9" s="166"/>
      <c r="FH9" s="166"/>
      <c r="FI9" s="166"/>
      <c r="FJ9" s="166"/>
      <c r="FK9" s="166"/>
      <c r="FL9" s="166"/>
      <c r="FM9" s="166"/>
      <c r="FN9" s="166"/>
      <c r="FO9" s="166"/>
      <c r="FP9" s="166"/>
      <c r="FQ9" s="166"/>
      <c r="FR9" s="166"/>
      <c r="FS9" s="166"/>
      <c r="FT9" s="166"/>
      <c r="FU9" s="166"/>
      <c r="FV9" s="166"/>
      <c r="FW9" s="166"/>
      <c r="FX9" s="166"/>
      <c r="FY9" s="166"/>
      <c r="FZ9" s="166"/>
      <c r="GA9" s="166"/>
      <c r="GB9" s="166"/>
      <c r="GC9" s="166"/>
      <c r="GD9" s="166"/>
      <c r="GE9" s="166"/>
      <c r="GF9" s="166"/>
      <c r="GG9" s="166"/>
      <c r="GH9" s="166"/>
      <c r="GI9" s="166"/>
      <c r="GJ9" s="166"/>
      <c r="GK9" s="166"/>
      <c r="GL9" s="166"/>
      <c r="GM9" s="166"/>
      <c r="GN9" s="166"/>
      <c r="GO9" s="166"/>
      <c r="GP9" s="166"/>
      <c r="GQ9" s="166"/>
      <c r="GR9" s="166"/>
      <c r="GS9" s="166"/>
      <c r="GT9" s="166"/>
      <c r="GU9" s="166"/>
      <c r="GV9" s="166"/>
      <c r="GW9" s="166"/>
      <c r="GX9" s="166"/>
      <c r="GY9" s="166"/>
      <c r="GZ9" s="166"/>
      <c r="HA9" s="166"/>
      <c r="HB9" s="166"/>
      <c r="HC9" s="166"/>
      <c r="HD9" s="166"/>
      <c r="HE9" s="166"/>
      <c r="HF9" s="166"/>
      <c r="HG9" s="166"/>
      <c r="HH9" s="166"/>
      <c r="HI9" s="166"/>
      <c r="HJ9" s="166"/>
      <c r="HK9" s="166"/>
      <c r="HL9" s="166"/>
      <c r="HM9" s="166"/>
      <c r="HN9" s="166"/>
      <c r="HO9" s="166"/>
      <c r="HP9" s="166"/>
      <c r="HQ9" s="166"/>
      <c r="HR9" s="166"/>
      <c r="HS9" s="166"/>
      <c r="HT9" s="166"/>
      <c r="HU9" s="166"/>
      <c r="HV9" s="166"/>
      <c r="HW9" s="166"/>
      <c r="HX9" s="166"/>
      <c r="HY9" s="166"/>
      <c r="HZ9" s="166"/>
      <c r="IA9" s="166"/>
      <c r="IB9" s="166"/>
      <c r="IC9" s="166"/>
      <c r="ID9" s="166"/>
      <c r="IE9" s="166"/>
      <c r="IF9" s="166"/>
      <c r="IG9" s="166"/>
      <c r="IH9" s="166"/>
      <c r="II9" s="166"/>
      <c r="IJ9" s="166"/>
      <c r="IK9" s="166"/>
      <c r="IL9" s="166"/>
      <c r="IM9" s="166"/>
      <c r="IN9" s="166"/>
      <c r="IO9" s="166"/>
      <c r="IP9" s="166"/>
      <c r="IQ9" s="166"/>
      <c r="IR9" s="166"/>
      <c r="IS9" s="166"/>
      <c r="IT9" s="166"/>
      <c r="IU9" s="166"/>
      <c r="IV9" s="166"/>
    </row>
    <row r="10" spans="1:256" s="166" customFormat="1" x14ac:dyDescent="0.25">
      <c r="A10" s="325">
        <f>IF(Info!$J$3&gt;0,Info!$J$3+B10, )</f>
        <v>0</v>
      </c>
      <c r="B10" s="215">
        <v>8</v>
      </c>
      <c r="C10" s="299"/>
      <c r="D10" s="211"/>
      <c r="E10" s="294"/>
      <c r="F10" s="294"/>
      <c r="G10" s="211"/>
      <c r="H10" s="211"/>
      <c r="I10" s="211"/>
      <c r="J10" s="204"/>
      <c r="K10" s="38"/>
    </row>
    <row r="11" spans="1:256" s="166" customFormat="1" x14ac:dyDescent="0.25">
      <c r="A11" s="325">
        <f>IF(Info!$J$3&gt;0,Info!$J$3+B11, )</f>
        <v>0</v>
      </c>
      <c r="B11" s="215">
        <v>9</v>
      </c>
      <c r="C11" s="299"/>
      <c r="D11" s="211"/>
      <c r="E11" s="294"/>
      <c r="F11" s="294"/>
      <c r="G11" s="211"/>
      <c r="H11" s="211"/>
      <c r="I11" s="211"/>
      <c r="J11" s="205"/>
      <c r="K11" s="38"/>
    </row>
    <row r="12" spans="1:256" s="166" customFormat="1" x14ac:dyDescent="0.25">
      <c r="A12" s="325">
        <f>IF(Info!$J$3&gt;0,Info!$J$3+B12, )</f>
        <v>0</v>
      </c>
      <c r="B12" s="215">
        <v>10</v>
      </c>
      <c r="C12" s="299"/>
      <c r="D12" s="211"/>
      <c r="E12" s="294"/>
      <c r="F12" s="294"/>
      <c r="G12" s="211"/>
      <c r="H12" s="211"/>
      <c r="I12" s="211"/>
      <c r="J12" s="205"/>
      <c r="K12" s="38"/>
    </row>
    <row r="13" spans="1:256" s="166" customFormat="1" x14ac:dyDescent="0.25">
      <c r="A13" s="325">
        <f>IF(Info!$J$3&gt;0,Info!$J$3+B13, )</f>
        <v>0</v>
      </c>
      <c r="B13" s="215">
        <v>11</v>
      </c>
      <c r="C13" s="299"/>
      <c r="D13" s="211"/>
      <c r="E13" s="294"/>
      <c r="F13" s="294"/>
      <c r="G13" s="211"/>
      <c r="H13" s="211"/>
      <c r="I13" s="211"/>
      <c r="J13" s="205"/>
      <c r="K13" s="38"/>
    </row>
    <row r="14" spans="1:256" s="166" customFormat="1" x14ac:dyDescent="0.25">
      <c r="A14" s="325">
        <f>IF(Info!$J$3&gt;0,Info!$J$3+B14, )</f>
        <v>0</v>
      </c>
      <c r="B14" s="215">
        <v>12</v>
      </c>
      <c r="C14" s="299"/>
      <c r="D14" s="211"/>
      <c r="E14" s="294"/>
      <c r="F14" s="294"/>
      <c r="G14" s="211"/>
      <c r="H14" s="211"/>
      <c r="I14" s="211"/>
      <c r="J14" s="205"/>
      <c r="K14" s="38"/>
    </row>
    <row r="15" spans="1:256" s="166" customFormat="1" x14ac:dyDescent="0.25">
      <c r="A15" s="325">
        <f>IF(Info!$J$3&gt;0,Info!$J$3+B15, )</f>
        <v>0</v>
      </c>
      <c r="B15" s="215">
        <v>13</v>
      </c>
      <c r="C15" s="299"/>
      <c r="D15" s="211"/>
      <c r="E15" s="294"/>
      <c r="F15" s="294"/>
      <c r="G15" s="211"/>
      <c r="H15" s="211"/>
      <c r="I15" s="211"/>
      <c r="J15" s="205"/>
      <c r="K15" s="38"/>
    </row>
    <row r="16" spans="1:256" s="166" customFormat="1" x14ac:dyDescent="0.25">
      <c r="A16" s="325">
        <f>IF(Info!$J$3&gt;0,Info!$J$3+B16, )</f>
        <v>0</v>
      </c>
      <c r="B16" s="215">
        <v>14</v>
      </c>
      <c r="C16" s="299"/>
      <c r="D16" s="211"/>
      <c r="E16" s="294"/>
      <c r="F16" s="294"/>
      <c r="G16" s="211"/>
      <c r="H16" s="211"/>
      <c r="I16" s="211"/>
      <c r="J16" s="206"/>
      <c r="K16" s="38"/>
    </row>
    <row r="17" spans="1:256" s="201" customFormat="1" ht="13.5" customHeight="1" x14ac:dyDescent="0.25">
      <c r="A17" s="326">
        <f>A16</f>
        <v>0</v>
      </c>
      <c r="B17" s="207" t="str">
        <f>Traducción!$B$24&amp;" 2"</f>
        <v>Sem. 2</v>
      </c>
      <c r="C17" s="301">
        <f>SUM(C10:C16)</f>
        <v>0</v>
      </c>
      <c r="D17" s="288">
        <f>IFERROR(AVERAGE(D10:D16), )</f>
        <v>0</v>
      </c>
      <c r="E17" s="296">
        <f>SUM(E10:E16)</f>
        <v>0</v>
      </c>
      <c r="F17" s="296">
        <f>SUM(F10:F16)</f>
        <v>0</v>
      </c>
      <c r="G17" s="288">
        <f>IFERROR(AVERAGE(G10:G16), )</f>
        <v>0</v>
      </c>
      <c r="H17" s="210">
        <f>IFERROR(AVERAGE(H10:H16), )</f>
        <v>0</v>
      </c>
      <c r="I17" s="210">
        <f>IFERROR(AVERAGE(I10:I16), )</f>
        <v>0</v>
      </c>
      <c r="J17" s="202"/>
      <c r="K17" s="38"/>
      <c r="L17" s="16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  <c r="AI17" s="166"/>
      <c r="AJ17" s="166"/>
      <c r="AK17" s="166"/>
      <c r="AL17" s="166"/>
      <c r="AM17" s="166"/>
      <c r="AN17" s="166"/>
      <c r="AO17" s="166"/>
      <c r="AP17" s="166"/>
      <c r="AQ17" s="166"/>
      <c r="AR17" s="166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  <c r="BK17" s="166"/>
      <c r="BL17" s="166"/>
      <c r="BM17" s="166"/>
      <c r="BN17" s="166"/>
      <c r="BO17" s="166"/>
      <c r="BP17" s="166"/>
      <c r="BQ17" s="166"/>
      <c r="BR17" s="166"/>
      <c r="BS17" s="166"/>
      <c r="BT17" s="166"/>
      <c r="BU17" s="166"/>
      <c r="BV17" s="166"/>
      <c r="BW17" s="166"/>
      <c r="BX17" s="166"/>
      <c r="BY17" s="166"/>
      <c r="BZ17" s="166"/>
      <c r="CA17" s="166"/>
      <c r="CB17" s="166"/>
      <c r="CC17" s="166"/>
      <c r="CD17" s="166"/>
      <c r="CE17" s="166"/>
      <c r="CF17" s="166"/>
      <c r="CG17" s="166"/>
      <c r="CH17" s="166"/>
      <c r="CI17" s="166"/>
      <c r="CJ17" s="166"/>
      <c r="CK17" s="166"/>
      <c r="CL17" s="166"/>
      <c r="CM17" s="166"/>
      <c r="CN17" s="166"/>
      <c r="CO17" s="166"/>
      <c r="CP17" s="166"/>
      <c r="CQ17" s="166"/>
      <c r="CR17" s="166"/>
      <c r="CS17" s="166"/>
      <c r="CT17" s="166"/>
      <c r="CU17" s="166"/>
      <c r="CV17" s="166"/>
      <c r="CW17" s="166"/>
      <c r="CX17" s="166"/>
      <c r="CY17" s="166"/>
      <c r="CZ17" s="166"/>
      <c r="DA17" s="166"/>
      <c r="DB17" s="166"/>
      <c r="DC17" s="166"/>
      <c r="DD17" s="166"/>
      <c r="DE17" s="166"/>
      <c r="DF17" s="166"/>
      <c r="DG17" s="166"/>
      <c r="DH17" s="166"/>
      <c r="DI17" s="166"/>
      <c r="DJ17" s="166"/>
      <c r="DK17" s="166"/>
      <c r="DL17" s="166"/>
      <c r="DM17" s="166"/>
      <c r="DN17" s="166"/>
      <c r="DO17" s="166"/>
      <c r="DP17" s="166"/>
      <c r="DQ17" s="166"/>
      <c r="DR17" s="166"/>
      <c r="DS17" s="166"/>
      <c r="DT17" s="166"/>
      <c r="DU17" s="166"/>
      <c r="DV17" s="166"/>
      <c r="DW17" s="166"/>
      <c r="DX17" s="166"/>
      <c r="DY17" s="166"/>
      <c r="DZ17" s="166"/>
      <c r="EA17" s="166"/>
      <c r="EB17" s="166"/>
      <c r="EC17" s="166"/>
      <c r="ED17" s="166"/>
      <c r="EE17" s="166"/>
      <c r="EF17" s="166"/>
      <c r="EG17" s="166"/>
      <c r="EH17" s="166"/>
      <c r="EI17" s="166"/>
      <c r="EJ17" s="166"/>
      <c r="EK17" s="166"/>
      <c r="EL17" s="166"/>
      <c r="EM17" s="166"/>
      <c r="EN17" s="166"/>
      <c r="EO17" s="166"/>
      <c r="EP17" s="166"/>
      <c r="EQ17" s="166"/>
      <c r="ER17" s="166"/>
      <c r="ES17" s="166"/>
      <c r="ET17" s="166"/>
      <c r="EU17" s="166"/>
      <c r="EV17" s="166"/>
      <c r="EW17" s="166"/>
      <c r="EX17" s="166"/>
      <c r="EY17" s="166"/>
      <c r="EZ17" s="166"/>
      <c r="FA17" s="166"/>
      <c r="FB17" s="166"/>
      <c r="FC17" s="166"/>
      <c r="FD17" s="166"/>
      <c r="FE17" s="166"/>
      <c r="FF17" s="166"/>
      <c r="FG17" s="166"/>
      <c r="FH17" s="166"/>
      <c r="FI17" s="166"/>
      <c r="FJ17" s="166"/>
      <c r="FK17" s="166"/>
      <c r="FL17" s="166"/>
      <c r="FM17" s="166"/>
      <c r="FN17" s="166"/>
      <c r="FO17" s="166"/>
      <c r="FP17" s="166"/>
      <c r="FQ17" s="166"/>
      <c r="FR17" s="166"/>
      <c r="FS17" s="166"/>
      <c r="FT17" s="166"/>
      <c r="FU17" s="166"/>
      <c r="FV17" s="166"/>
      <c r="FW17" s="166"/>
      <c r="FX17" s="166"/>
      <c r="FY17" s="166"/>
      <c r="FZ17" s="166"/>
      <c r="GA17" s="166"/>
      <c r="GB17" s="166"/>
      <c r="GC17" s="166"/>
      <c r="GD17" s="166"/>
      <c r="GE17" s="166"/>
      <c r="GF17" s="166"/>
      <c r="GG17" s="166"/>
      <c r="GH17" s="166"/>
      <c r="GI17" s="166"/>
      <c r="GJ17" s="166"/>
      <c r="GK17" s="166"/>
      <c r="GL17" s="166"/>
      <c r="GM17" s="166"/>
      <c r="GN17" s="166"/>
      <c r="GO17" s="166"/>
      <c r="GP17" s="166"/>
      <c r="GQ17" s="166"/>
      <c r="GR17" s="166"/>
      <c r="GS17" s="166"/>
      <c r="GT17" s="166"/>
      <c r="GU17" s="166"/>
      <c r="GV17" s="166"/>
      <c r="GW17" s="166"/>
      <c r="GX17" s="166"/>
      <c r="GY17" s="166"/>
      <c r="GZ17" s="166"/>
      <c r="HA17" s="166"/>
      <c r="HB17" s="166"/>
      <c r="HC17" s="166"/>
      <c r="HD17" s="166"/>
      <c r="HE17" s="166"/>
      <c r="HF17" s="166"/>
      <c r="HG17" s="166"/>
      <c r="HH17" s="166"/>
      <c r="HI17" s="166"/>
      <c r="HJ17" s="166"/>
      <c r="HK17" s="166"/>
      <c r="HL17" s="166"/>
      <c r="HM17" s="166"/>
      <c r="HN17" s="166"/>
      <c r="HO17" s="166"/>
      <c r="HP17" s="166"/>
      <c r="HQ17" s="166"/>
      <c r="HR17" s="166"/>
      <c r="HS17" s="166"/>
      <c r="HT17" s="166"/>
      <c r="HU17" s="166"/>
      <c r="HV17" s="166"/>
      <c r="HW17" s="166"/>
      <c r="HX17" s="166"/>
      <c r="HY17" s="166"/>
      <c r="HZ17" s="166"/>
      <c r="IA17" s="166"/>
      <c r="IB17" s="166"/>
      <c r="IC17" s="166"/>
      <c r="ID17" s="166"/>
      <c r="IE17" s="166"/>
      <c r="IF17" s="166"/>
      <c r="IG17" s="166"/>
      <c r="IH17" s="166"/>
      <c r="II17" s="166"/>
      <c r="IJ17" s="166"/>
      <c r="IK17" s="166"/>
      <c r="IL17" s="166"/>
      <c r="IM17" s="166"/>
      <c r="IN17" s="166"/>
      <c r="IO17" s="166"/>
      <c r="IP17" s="166"/>
      <c r="IQ17" s="166"/>
      <c r="IR17" s="166"/>
      <c r="IS17" s="166"/>
      <c r="IT17" s="166"/>
      <c r="IU17" s="166"/>
      <c r="IV17" s="166"/>
    </row>
    <row r="18" spans="1:256" s="166" customFormat="1" x14ac:dyDescent="0.25">
      <c r="A18" s="325">
        <f>IF(Info!$J$3&gt;0,Info!$J$3+B18, )</f>
        <v>0</v>
      </c>
      <c r="B18" s="215">
        <v>15</v>
      </c>
      <c r="C18" s="299"/>
      <c r="D18" s="211"/>
      <c r="E18" s="294"/>
      <c r="F18" s="294"/>
      <c r="G18" s="211"/>
      <c r="H18" s="211"/>
      <c r="I18" s="211"/>
      <c r="J18" s="204"/>
      <c r="K18" s="38"/>
    </row>
    <row r="19" spans="1:256" s="166" customFormat="1" x14ac:dyDescent="0.25">
      <c r="A19" s="325">
        <f>IF(Info!$J$3&gt;0,Info!$J$3+B19, )</f>
        <v>0</v>
      </c>
      <c r="B19" s="215">
        <v>16</v>
      </c>
      <c r="C19" s="299"/>
      <c r="D19" s="211"/>
      <c r="E19" s="294"/>
      <c r="F19" s="294"/>
      <c r="G19" s="211"/>
      <c r="H19" s="211"/>
      <c r="I19" s="211"/>
      <c r="J19" s="205"/>
      <c r="K19" s="38"/>
    </row>
    <row r="20" spans="1:256" s="166" customFormat="1" x14ac:dyDescent="0.25">
      <c r="A20" s="325">
        <f>IF(Info!$J$3&gt;0,Info!$J$3+B20, )</f>
        <v>0</v>
      </c>
      <c r="B20" s="215">
        <v>17</v>
      </c>
      <c r="C20" s="299"/>
      <c r="D20" s="211"/>
      <c r="E20" s="294"/>
      <c r="F20" s="294"/>
      <c r="G20" s="211"/>
      <c r="H20" s="211"/>
      <c r="I20" s="211"/>
      <c r="J20" s="205"/>
      <c r="K20" s="38"/>
    </row>
    <row r="21" spans="1:256" s="166" customFormat="1" x14ac:dyDescent="0.25">
      <c r="A21" s="325">
        <f>IF(Info!$J$3&gt;0,Info!$J$3+B21, )</f>
        <v>0</v>
      </c>
      <c r="B21" s="215">
        <v>18</v>
      </c>
      <c r="C21" s="299"/>
      <c r="D21" s="211"/>
      <c r="E21" s="294"/>
      <c r="F21" s="294"/>
      <c r="G21" s="211"/>
      <c r="H21" s="211"/>
      <c r="I21" s="211"/>
      <c r="J21" s="205"/>
      <c r="K21" s="38"/>
    </row>
    <row r="22" spans="1:256" s="166" customFormat="1" x14ac:dyDescent="0.25">
      <c r="A22" s="325">
        <f>IF(Info!$J$3&gt;0,Info!$J$3+B22, )</f>
        <v>0</v>
      </c>
      <c r="B22" s="215">
        <v>19</v>
      </c>
      <c r="C22" s="299"/>
      <c r="D22" s="211"/>
      <c r="E22" s="294"/>
      <c r="F22" s="294"/>
      <c r="G22" s="211"/>
      <c r="H22" s="211"/>
      <c r="I22" s="211"/>
      <c r="J22" s="205"/>
      <c r="K22" s="38"/>
    </row>
    <row r="23" spans="1:256" s="166" customFormat="1" x14ac:dyDescent="0.25">
      <c r="A23" s="325">
        <f>IF(Info!$J$3&gt;0,Info!$J$3+B23, )</f>
        <v>0</v>
      </c>
      <c r="B23" s="215">
        <v>20</v>
      </c>
      <c r="C23" s="299"/>
      <c r="D23" s="211"/>
      <c r="E23" s="294"/>
      <c r="F23" s="294"/>
      <c r="G23" s="211"/>
      <c r="H23" s="211"/>
      <c r="I23" s="211"/>
      <c r="J23" s="205"/>
      <c r="K23" s="38"/>
    </row>
    <row r="24" spans="1:256" s="166" customFormat="1" x14ac:dyDescent="0.25">
      <c r="A24" s="325">
        <f>IF(Info!$J$3&gt;0,Info!$J$3+B24, )</f>
        <v>0</v>
      </c>
      <c r="B24" s="215">
        <v>21</v>
      </c>
      <c r="C24" s="299"/>
      <c r="D24" s="211"/>
      <c r="E24" s="294"/>
      <c r="F24" s="294"/>
      <c r="G24" s="211"/>
      <c r="H24" s="211"/>
      <c r="I24" s="211"/>
      <c r="J24" s="206"/>
      <c r="K24" s="38"/>
    </row>
    <row r="25" spans="1:256" s="201" customFormat="1" ht="13.5" customHeight="1" x14ac:dyDescent="0.25">
      <c r="A25" s="326">
        <f>A24</f>
        <v>0</v>
      </c>
      <c r="B25" s="207" t="str">
        <f>Traducción!$B$24&amp;" 3"</f>
        <v>Sem. 3</v>
      </c>
      <c r="C25" s="301">
        <f>SUM(C18:C24)</f>
        <v>0</v>
      </c>
      <c r="D25" s="288">
        <f t="shared" ref="D25" si="0">IFERROR(AVERAGE(D18:D24), )</f>
        <v>0</v>
      </c>
      <c r="E25" s="296">
        <f t="shared" ref="E25:F25" si="1">SUM(E18:E24)</f>
        <v>0</v>
      </c>
      <c r="F25" s="296">
        <f t="shared" si="1"/>
        <v>0</v>
      </c>
      <c r="G25" s="288">
        <f t="shared" ref="G25:I25" si="2">IFERROR(AVERAGE(G18:G24), )</f>
        <v>0</v>
      </c>
      <c r="H25" s="210">
        <f t="shared" si="2"/>
        <v>0</v>
      </c>
      <c r="I25" s="210">
        <f t="shared" si="2"/>
        <v>0</v>
      </c>
      <c r="J25" s="202"/>
      <c r="K25" s="38"/>
      <c r="L25" s="16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  <c r="AI25" s="166"/>
      <c r="AJ25" s="166"/>
      <c r="AK25" s="166"/>
      <c r="AL25" s="166"/>
      <c r="AM25" s="166"/>
      <c r="AN25" s="166"/>
      <c r="AO25" s="166"/>
      <c r="AP25" s="166"/>
      <c r="AQ25" s="166"/>
      <c r="AR25" s="166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  <c r="BK25" s="166"/>
      <c r="BL25" s="166"/>
      <c r="BM25" s="166"/>
      <c r="BN25" s="166"/>
      <c r="BO25" s="166"/>
      <c r="BP25" s="166"/>
      <c r="BQ25" s="166"/>
      <c r="BR25" s="166"/>
      <c r="BS25" s="166"/>
      <c r="BT25" s="166"/>
      <c r="BU25" s="166"/>
      <c r="BV25" s="166"/>
      <c r="BW25" s="166"/>
      <c r="BX25" s="166"/>
      <c r="BY25" s="166"/>
      <c r="BZ25" s="166"/>
      <c r="CA25" s="166"/>
      <c r="CB25" s="166"/>
      <c r="CC25" s="166"/>
      <c r="CD25" s="166"/>
      <c r="CE25" s="166"/>
      <c r="CF25" s="166"/>
      <c r="CG25" s="166"/>
      <c r="CH25" s="166"/>
      <c r="CI25" s="166"/>
      <c r="CJ25" s="166"/>
      <c r="CK25" s="166"/>
      <c r="CL25" s="166"/>
      <c r="CM25" s="166"/>
      <c r="CN25" s="166"/>
      <c r="CO25" s="166"/>
      <c r="CP25" s="166"/>
      <c r="CQ25" s="166"/>
      <c r="CR25" s="166"/>
      <c r="CS25" s="166"/>
      <c r="CT25" s="166"/>
      <c r="CU25" s="166"/>
      <c r="CV25" s="166"/>
      <c r="CW25" s="166"/>
      <c r="CX25" s="166"/>
      <c r="CY25" s="166"/>
      <c r="CZ25" s="166"/>
      <c r="DA25" s="166"/>
      <c r="DB25" s="166"/>
      <c r="DC25" s="166"/>
      <c r="DD25" s="166"/>
      <c r="DE25" s="166"/>
      <c r="DF25" s="166"/>
      <c r="DG25" s="166"/>
      <c r="DH25" s="166"/>
      <c r="DI25" s="166"/>
      <c r="DJ25" s="166"/>
      <c r="DK25" s="166"/>
      <c r="DL25" s="166"/>
      <c r="DM25" s="166"/>
      <c r="DN25" s="166"/>
      <c r="DO25" s="166"/>
      <c r="DP25" s="166"/>
      <c r="DQ25" s="166"/>
      <c r="DR25" s="166"/>
      <c r="DS25" s="166"/>
      <c r="DT25" s="166"/>
      <c r="DU25" s="166"/>
      <c r="DV25" s="166"/>
      <c r="DW25" s="166"/>
      <c r="DX25" s="166"/>
      <c r="DY25" s="166"/>
      <c r="DZ25" s="166"/>
      <c r="EA25" s="166"/>
      <c r="EB25" s="166"/>
      <c r="EC25" s="166"/>
      <c r="ED25" s="166"/>
      <c r="EE25" s="166"/>
      <c r="EF25" s="166"/>
      <c r="EG25" s="166"/>
      <c r="EH25" s="166"/>
      <c r="EI25" s="166"/>
      <c r="EJ25" s="166"/>
      <c r="EK25" s="166"/>
      <c r="EL25" s="166"/>
      <c r="EM25" s="166"/>
      <c r="EN25" s="166"/>
      <c r="EO25" s="166"/>
      <c r="EP25" s="166"/>
      <c r="EQ25" s="166"/>
      <c r="ER25" s="166"/>
      <c r="ES25" s="166"/>
      <c r="ET25" s="166"/>
      <c r="EU25" s="166"/>
      <c r="EV25" s="166"/>
      <c r="EW25" s="166"/>
      <c r="EX25" s="166"/>
      <c r="EY25" s="166"/>
      <c r="EZ25" s="166"/>
      <c r="FA25" s="166"/>
      <c r="FB25" s="166"/>
      <c r="FC25" s="166"/>
      <c r="FD25" s="166"/>
      <c r="FE25" s="166"/>
      <c r="FF25" s="166"/>
      <c r="FG25" s="166"/>
      <c r="FH25" s="166"/>
      <c r="FI25" s="166"/>
      <c r="FJ25" s="166"/>
      <c r="FK25" s="166"/>
      <c r="FL25" s="166"/>
      <c r="FM25" s="166"/>
      <c r="FN25" s="166"/>
      <c r="FO25" s="166"/>
      <c r="FP25" s="166"/>
      <c r="FQ25" s="166"/>
      <c r="FR25" s="166"/>
      <c r="FS25" s="166"/>
      <c r="FT25" s="166"/>
      <c r="FU25" s="166"/>
      <c r="FV25" s="166"/>
      <c r="FW25" s="166"/>
      <c r="FX25" s="166"/>
      <c r="FY25" s="166"/>
      <c r="FZ25" s="166"/>
      <c r="GA25" s="166"/>
      <c r="GB25" s="166"/>
      <c r="GC25" s="166"/>
      <c r="GD25" s="166"/>
      <c r="GE25" s="166"/>
      <c r="GF25" s="166"/>
      <c r="GG25" s="166"/>
      <c r="GH25" s="166"/>
      <c r="GI25" s="166"/>
      <c r="GJ25" s="166"/>
      <c r="GK25" s="166"/>
      <c r="GL25" s="166"/>
      <c r="GM25" s="166"/>
      <c r="GN25" s="166"/>
      <c r="GO25" s="166"/>
      <c r="GP25" s="166"/>
      <c r="GQ25" s="166"/>
      <c r="GR25" s="166"/>
      <c r="GS25" s="166"/>
      <c r="GT25" s="166"/>
      <c r="GU25" s="166"/>
      <c r="GV25" s="166"/>
      <c r="GW25" s="166"/>
      <c r="GX25" s="166"/>
      <c r="GY25" s="166"/>
      <c r="GZ25" s="166"/>
      <c r="HA25" s="166"/>
      <c r="HB25" s="166"/>
      <c r="HC25" s="166"/>
      <c r="HD25" s="166"/>
      <c r="HE25" s="166"/>
      <c r="HF25" s="166"/>
      <c r="HG25" s="166"/>
      <c r="HH25" s="166"/>
      <c r="HI25" s="166"/>
      <c r="HJ25" s="166"/>
      <c r="HK25" s="166"/>
      <c r="HL25" s="166"/>
      <c r="HM25" s="166"/>
      <c r="HN25" s="166"/>
      <c r="HO25" s="166"/>
      <c r="HP25" s="166"/>
      <c r="HQ25" s="166"/>
      <c r="HR25" s="166"/>
      <c r="HS25" s="166"/>
      <c r="HT25" s="166"/>
      <c r="HU25" s="166"/>
      <c r="HV25" s="166"/>
      <c r="HW25" s="166"/>
      <c r="HX25" s="166"/>
      <c r="HY25" s="166"/>
      <c r="HZ25" s="166"/>
      <c r="IA25" s="166"/>
      <c r="IB25" s="166"/>
      <c r="IC25" s="166"/>
      <c r="ID25" s="166"/>
      <c r="IE25" s="166"/>
      <c r="IF25" s="166"/>
      <c r="IG25" s="166"/>
      <c r="IH25" s="166"/>
      <c r="II25" s="166"/>
      <c r="IJ25" s="166"/>
      <c r="IK25" s="166"/>
      <c r="IL25" s="166"/>
      <c r="IM25" s="166"/>
      <c r="IN25" s="166"/>
      <c r="IO25" s="166"/>
      <c r="IP25" s="166"/>
      <c r="IQ25" s="166"/>
      <c r="IR25" s="166"/>
      <c r="IS25" s="166"/>
      <c r="IT25" s="166"/>
      <c r="IU25" s="166"/>
      <c r="IV25" s="166"/>
    </row>
    <row r="26" spans="1:256" s="166" customFormat="1" x14ac:dyDescent="0.25">
      <c r="A26" s="325">
        <f>IF(Info!$J$3&gt;0,Info!$J$3+B26, )</f>
        <v>0</v>
      </c>
      <c r="B26" s="215">
        <v>22</v>
      </c>
      <c r="C26" s="299"/>
      <c r="D26" s="211"/>
      <c r="E26" s="294"/>
      <c r="F26" s="294"/>
      <c r="G26" s="211"/>
      <c r="H26" s="211"/>
      <c r="I26" s="211"/>
      <c r="J26" s="204"/>
      <c r="K26" s="38"/>
    </row>
    <row r="27" spans="1:256" s="166" customFormat="1" x14ac:dyDescent="0.25">
      <c r="A27" s="325">
        <f>IF(Info!$J$3&gt;0,Info!$J$3+B27, )</f>
        <v>0</v>
      </c>
      <c r="B27" s="215">
        <v>23</v>
      </c>
      <c r="C27" s="299"/>
      <c r="D27" s="211"/>
      <c r="E27" s="294"/>
      <c r="F27" s="294"/>
      <c r="G27" s="211"/>
      <c r="H27" s="211"/>
      <c r="I27" s="211"/>
      <c r="J27" s="205"/>
      <c r="K27" s="38"/>
    </row>
    <row r="28" spans="1:256" s="166" customFormat="1" x14ac:dyDescent="0.25">
      <c r="A28" s="325">
        <f>IF(Info!$J$3&gt;0,Info!$J$3+B28, )</f>
        <v>0</v>
      </c>
      <c r="B28" s="215">
        <v>24</v>
      </c>
      <c r="C28" s="299"/>
      <c r="D28" s="211"/>
      <c r="E28" s="294"/>
      <c r="F28" s="294"/>
      <c r="G28" s="211"/>
      <c r="H28" s="211"/>
      <c r="I28" s="211"/>
      <c r="J28" s="205"/>
      <c r="K28" s="38"/>
    </row>
    <row r="29" spans="1:256" s="166" customFormat="1" x14ac:dyDescent="0.25">
      <c r="A29" s="325">
        <f>IF(Info!$J$3&gt;0,Info!$J$3+B29, )</f>
        <v>0</v>
      </c>
      <c r="B29" s="215">
        <v>25</v>
      </c>
      <c r="C29" s="299"/>
      <c r="D29" s="211"/>
      <c r="E29" s="294"/>
      <c r="F29" s="294"/>
      <c r="G29" s="211"/>
      <c r="H29" s="211"/>
      <c r="I29" s="211"/>
      <c r="J29" s="205"/>
      <c r="K29" s="38"/>
    </row>
    <row r="30" spans="1:256" s="166" customFormat="1" x14ac:dyDescent="0.25">
      <c r="A30" s="325">
        <f>IF(Info!$J$3&gt;0,Info!$J$3+B30, )</f>
        <v>0</v>
      </c>
      <c r="B30" s="215">
        <v>26</v>
      </c>
      <c r="C30" s="299"/>
      <c r="D30" s="211"/>
      <c r="E30" s="294"/>
      <c r="F30" s="294"/>
      <c r="G30" s="211"/>
      <c r="H30" s="211"/>
      <c r="I30" s="211"/>
      <c r="J30" s="205"/>
      <c r="K30" s="38"/>
    </row>
    <row r="31" spans="1:256" s="166" customFormat="1" x14ac:dyDescent="0.25">
      <c r="A31" s="325">
        <f>IF(Info!$J$3&gt;0,Info!$J$3+B31, )</f>
        <v>0</v>
      </c>
      <c r="B31" s="215">
        <v>27</v>
      </c>
      <c r="C31" s="300"/>
      <c r="D31" s="211"/>
      <c r="E31" s="294"/>
      <c r="F31" s="294"/>
      <c r="G31" s="211"/>
      <c r="H31" s="211"/>
      <c r="I31" s="211"/>
      <c r="J31" s="205"/>
      <c r="K31" s="38"/>
    </row>
    <row r="32" spans="1:256" s="166" customFormat="1" x14ac:dyDescent="0.25">
      <c r="A32" s="325">
        <f>IF(Info!$J$3&gt;0,Info!$J$3+B32, )</f>
        <v>0</v>
      </c>
      <c r="B32" s="215">
        <v>28</v>
      </c>
      <c r="C32" s="299"/>
      <c r="D32" s="211"/>
      <c r="E32" s="294"/>
      <c r="F32" s="294"/>
      <c r="G32" s="211"/>
      <c r="H32" s="211"/>
      <c r="I32" s="211"/>
      <c r="J32" s="206"/>
      <c r="K32" s="38"/>
    </row>
    <row r="33" spans="1:256" s="201" customFormat="1" ht="13.5" customHeight="1" x14ac:dyDescent="0.25">
      <c r="A33" s="326">
        <f>A32</f>
        <v>0</v>
      </c>
      <c r="B33" s="207" t="str">
        <f>Traducción!$B$24&amp;" 4"</f>
        <v>Sem. 4</v>
      </c>
      <c r="C33" s="301">
        <f>SUM(C26:C32)</f>
        <v>0</v>
      </c>
      <c r="D33" s="288">
        <f t="shared" ref="D33" si="3">IFERROR(AVERAGE(D26:D32), )</f>
        <v>0</v>
      </c>
      <c r="E33" s="296">
        <f t="shared" ref="E33:F33" si="4">SUM(E26:E32)</f>
        <v>0</v>
      </c>
      <c r="F33" s="296">
        <f t="shared" si="4"/>
        <v>0</v>
      </c>
      <c r="G33" s="288">
        <f t="shared" ref="G33:I33" si="5">IFERROR(AVERAGE(G26:G32), )</f>
        <v>0</v>
      </c>
      <c r="H33" s="210">
        <f t="shared" si="5"/>
        <v>0</v>
      </c>
      <c r="I33" s="210">
        <f t="shared" si="5"/>
        <v>0</v>
      </c>
      <c r="J33" s="202"/>
      <c r="K33" s="38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66"/>
      <c r="AH33" s="166"/>
      <c r="AI33" s="166"/>
      <c r="AJ33" s="166"/>
      <c r="AK33" s="166"/>
      <c r="AL33" s="166"/>
      <c r="AM33" s="166"/>
      <c r="AN33" s="166"/>
      <c r="AO33" s="166"/>
      <c r="AP33" s="166"/>
      <c r="AQ33" s="166"/>
      <c r="AR33" s="166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  <c r="BK33" s="166"/>
      <c r="BL33" s="166"/>
      <c r="BM33" s="166"/>
      <c r="BN33" s="166"/>
      <c r="BO33" s="166"/>
      <c r="BP33" s="166"/>
      <c r="BQ33" s="166"/>
      <c r="BR33" s="166"/>
      <c r="BS33" s="166"/>
      <c r="BT33" s="166"/>
      <c r="BU33" s="166"/>
      <c r="BV33" s="166"/>
      <c r="BW33" s="166"/>
      <c r="BX33" s="166"/>
      <c r="BY33" s="166"/>
      <c r="BZ33" s="166"/>
      <c r="CA33" s="166"/>
      <c r="CB33" s="166"/>
      <c r="CC33" s="166"/>
      <c r="CD33" s="166"/>
      <c r="CE33" s="166"/>
      <c r="CF33" s="166"/>
      <c r="CG33" s="166"/>
      <c r="CH33" s="166"/>
      <c r="CI33" s="166"/>
      <c r="CJ33" s="166"/>
      <c r="CK33" s="166"/>
      <c r="CL33" s="166"/>
      <c r="CM33" s="166"/>
      <c r="CN33" s="166"/>
      <c r="CO33" s="166"/>
      <c r="CP33" s="166"/>
      <c r="CQ33" s="166"/>
      <c r="CR33" s="166"/>
      <c r="CS33" s="166"/>
      <c r="CT33" s="166"/>
      <c r="CU33" s="166"/>
      <c r="CV33" s="166"/>
      <c r="CW33" s="166"/>
      <c r="CX33" s="166"/>
      <c r="CY33" s="166"/>
      <c r="CZ33" s="166"/>
      <c r="DA33" s="166"/>
      <c r="DB33" s="166"/>
      <c r="DC33" s="166"/>
      <c r="DD33" s="166"/>
      <c r="DE33" s="166"/>
      <c r="DF33" s="166"/>
      <c r="DG33" s="166"/>
      <c r="DH33" s="166"/>
      <c r="DI33" s="166"/>
      <c r="DJ33" s="166"/>
      <c r="DK33" s="166"/>
      <c r="DL33" s="166"/>
      <c r="DM33" s="166"/>
      <c r="DN33" s="166"/>
      <c r="DO33" s="166"/>
      <c r="DP33" s="166"/>
      <c r="DQ33" s="166"/>
      <c r="DR33" s="166"/>
      <c r="DS33" s="166"/>
      <c r="DT33" s="166"/>
      <c r="DU33" s="166"/>
      <c r="DV33" s="166"/>
      <c r="DW33" s="166"/>
      <c r="DX33" s="166"/>
      <c r="DY33" s="166"/>
      <c r="DZ33" s="166"/>
      <c r="EA33" s="166"/>
      <c r="EB33" s="166"/>
      <c r="EC33" s="166"/>
      <c r="ED33" s="166"/>
      <c r="EE33" s="166"/>
      <c r="EF33" s="166"/>
      <c r="EG33" s="166"/>
      <c r="EH33" s="166"/>
      <c r="EI33" s="166"/>
      <c r="EJ33" s="166"/>
      <c r="EK33" s="166"/>
      <c r="EL33" s="166"/>
      <c r="EM33" s="166"/>
      <c r="EN33" s="166"/>
      <c r="EO33" s="166"/>
      <c r="EP33" s="166"/>
      <c r="EQ33" s="166"/>
      <c r="ER33" s="166"/>
      <c r="ES33" s="166"/>
      <c r="ET33" s="166"/>
      <c r="EU33" s="166"/>
      <c r="EV33" s="166"/>
      <c r="EW33" s="166"/>
      <c r="EX33" s="166"/>
      <c r="EY33" s="166"/>
      <c r="EZ33" s="166"/>
      <c r="FA33" s="166"/>
      <c r="FB33" s="166"/>
      <c r="FC33" s="166"/>
      <c r="FD33" s="166"/>
      <c r="FE33" s="166"/>
      <c r="FF33" s="166"/>
      <c r="FG33" s="166"/>
      <c r="FH33" s="166"/>
      <c r="FI33" s="166"/>
      <c r="FJ33" s="166"/>
      <c r="FK33" s="166"/>
      <c r="FL33" s="166"/>
      <c r="FM33" s="166"/>
      <c r="FN33" s="166"/>
      <c r="FO33" s="166"/>
      <c r="FP33" s="166"/>
      <c r="FQ33" s="166"/>
      <c r="FR33" s="166"/>
      <c r="FS33" s="166"/>
      <c r="FT33" s="166"/>
      <c r="FU33" s="166"/>
      <c r="FV33" s="166"/>
      <c r="FW33" s="166"/>
      <c r="FX33" s="166"/>
      <c r="FY33" s="166"/>
      <c r="FZ33" s="166"/>
      <c r="GA33" s="166"/>
      <c r="GB33" s="166"/>
      <c r="GC33" s="166"/>
      <c r="GD33" s="166"/>
      <c r="GE33" s="166"/>
      <c r="GF33" s="166"/>
      <c r="GG33" s="166"/>
      <c r="GH33" s="166"/>
      <c r="GI33" s="166"/>
      <c r="GJ33" s="166"/>
      <c r="GK33" s="166"/>
      <c r="GL33" s="166"/>
      <c r="GM33" s="166"/>
      <c r="GN33" s="166"/>
      <c r="GO33" s="166"/>
      <c r="GP33" s="166"/>
      <c r="GQ33" s="166"/>
      <c r="GR33" s="166"/>
      <c r="GS33" s="166"/>
      <c r="GT33" s="166"/>
      <c r="GU33" s="166"/>
      <c r="GV33" s="166"/>
      <c r="GW33" s="166"/>
      <c r="GX33" s="166"/>
      <c r="GY33" s="166"/>
      <c r="GZ33" s="166"/>
      <c r="HA33" s="166"/>
      <c r="HB33" s="166"/>
      <c r="HC33" s="166"/>
      <c r="HD33" s="166"/>
      <c r="HE33" s="166"/>
      <c r="HF33" s="166"/>
      <c r="HG33" s="166"/>
      <c r="HH33" s="166"/>
      <c r="HI33" s="166"/>
      <c r="HJ33" s="166"/>
      <c r="HK33" s="166"/>
      <c r="HL33" s="166"/>
      <c r="HM33" s="166"/>
      <c r="HN33" s="166"/>
      <c r="HO33" s="166"/>
      <c r="HP33" s="166"/>
      <c r="HQ33" s="166"/>
      <c r="HR33" s="166"/>
      <c r="HS33" s="166"/>
      <c r="HT33" s="166"/>
      <c r="HU33" s="166"/>
      <c r="HV33" s="166"/>
      <c r="HW33" s="166"/>
      <c r="HX33" s="166"/>
      <c r="HY33" s="166"/>
      <c r="HZ33" s="166"/>
      <c r="IA33" s="166"/>
      <c r="IB33" s="166"/>
      <c r="IC33" s="166"/>
      <c r="ID33" s="166"/>
      <c r="IE33" s="166"/>
      <c r="IF33" s="166"/>
      <c r="IG33" s="166"/>
      <c r="IH33" s="166"/>
      <c r="II33" s="166"/>
      <c r="IJ33" s="166"/>
      <c r="IK33" s="166"/>
      <c r="IL33" s="166"/>
      <c r="IM33" s="166"/>
      <c r="IN33" s="166"/>
      <c r="IO33" s="166"/>
      <c r="IP33" s="166"/>
      <c r="IQ33" s="166"/>
      <c r="IR33" s="166"/>
      <c r="IS33" s="166"/>
      <c r="IT33" s="166"/>
      <c r="IU33" s="166"/>
      <c r="IV33" s="166"/>
    </row>
    <row r="34" spans="1:256" s="166" customFormat="1" x14ac:dyDescent="0.25">
      <c r="A34" s="325">
        <f>IF(Info!$J$3&gt;0,Info!$J$3+B34, )</f>
        <v>0</v>
      </c>
      <c r="B34" s="215">
        <v>29</v>
      </c>
      <c r="C34" s="299"/>
      <c r="D34" s="211"/>
      <c r="E34" s="294"/>
      <c r="F34" s="294"/>
      <c r="G34" s="211"/>
      <c r="H34" s="211"/>
      <c r="I34" s="211"/>
      <c r="J34" s="204"/>
      <c r="K34" s="38"/>
    </row>
    <row r="35" spans="1:256" s="166" customFormat="1" x14ac:dyDescent="0.25">
      <c r="A35" s="325">
        <f>IF(Info!$J$3&gt;0,Info!$J$3+B35, )</f>
        <v>0</v>
      </c>
      <c r="B35" s="215">
        <v>30</v>
      </c>
      <c r="C35" s="302"/>
      <c r="D35" s="211"/>
      <c r="E35" s="294"/>
      <c r="F35" s="294"/>
      <c r="G35" s="211"/>
      <c r="H35" s="211"/>
      <c r="I35" s="211"/>
      <c r="J35" s="205"/>
      <c r="K35" s="38"/>
    </row>
    <row r="36" spans="1:256" s="166" customFormat="1" x14ac:dyDescent="0.25">
      <c r="A36" s="325">
        <f>IF(Info!$J$3&gt;0,Info!$J$3+B36, )</f>
        <v>0</v>
      </c>
      <c r="B36" s="215">
        <v>31</v>
      </c>
      <c r="C36" s="299"/>
      <c r="D36" s="211"/>
      <c r="E36" s="294"/>
      <c r="F36" s="294"/>
      <c r="G36" s="211"/>
      <c r="H36" s="211"/>
      <c r="I36" s="211"/>
      <c r="J36" s="205"/>
      <c r="K36" s="38"/>
    </row>
    <row r="37" spans="1:256" s="166" customFormat="1" x14ac:dyDescent="0.25">
      <c r="A37" s="325">
        <f>IF(Info!$J$3&gt;0,Info!$J$3+B37, )</f>
        <v>0</v>
      </c>
      <c r="B37" s="215">
        <v>32</v>
      </c>
      <c r="C37" s="299"/>
      <c r="D37" s="211"/>
      <c r="E37" s="294"/>
      <c r="F37" s="294"/>
      <c r="G37" s="211"/>
      <c r="H37" s="211"/>
      <c r="I37" s="211"/>
      <c r="J37" s="205"/>
      <c r="K37" s="38"/>
    </row>
    <row r="38" spans="1:256" s="166" customFormat="1" x14ac:dyDescent="0.25">
      <c r="A38" s="325">
        <f>IF(Info!$J$3&gt;0,Info!$J$3+B38, )</f>
        <v>0</v>
      </c>
      <c r="B38" s="215">
        <v>33</v>
      </c>
      <c r="C38" s="300"/>
      <c r="D38" s="211"/>
      <c r="E38" s="294"/>
      <c r="F38" s="294"/>
      <c r="G38" s="211"/>
      <c r="H38" s="211"/>
      <c r="I38" s="211"/>
      <c r="J38" s="205"/>
      <c r="K38" s="38"/>
    </row>
    <row r="39" spans="1:256" s="166" customFormat="1" x14ac:dyDescent="0.25">
      <c r="A39" s="325">
        <f>IF(Info!$J$3&gt;0,Info!$J$3+B39, )</f>
        <v>0</v>
      </c>
      <c r="B39" s="215">
        <v>34</v>
      </c>
      <c r="C39" s="299"/>
      <c r="D39" s="211"/>
      <c r="E39" s="294"/>
      <c r="F39" s="294"/>
      <c r="G39" s="211"/>
      <c r="H39" s="211"/>
      <c r="I39" s="211"/>
      <c r="J39" s="205"/>
      <c r="K39" s="38"/>
    </row>
    <row r="40" spans="1:256" s="166" customFormat="1" x14ac:dyDescent="0.25">
      <c r="A40" s="325">
        <f>IF(Info!$J$3&gt;0,Info!$J$3+B40, )</f>
        <v>0</v>
      </c>
      <c r="B40" s="215">
        <v>35</v>
      </c>
      <c r="C40" s="299"/>
      <c r="D40" s="211"/>
      <c r="E40" s="294"/>
      <c r="F40" s="294"/>
      <c r="G40" s="211"/>
      <c r="H40" s="211"/>
      <c r="I40" s="211"/>
      <c r="J40" s="206"/>
      <c r="K40" s="38"/>
    </row>
    <row r="41" spans="1:256" s="201" customFormat="1" ht="13.5" customHeight="1" x14ac:dyDescent="0.25">
      <c r="A41" s="326">
        <f>A40</f>
        <v>0</v>
      </c>
      <c r="B41" s="207" t="str">
        <f>Traducción!$B$24&amp;" 5"</f>
        <v>Sem. 5</v>
      </c>
      <c r="C41" s="301">
        <f>SUM(C34:C40)</f>
        <v>0</v>
      </c>
      <c r="D41" s="288">
        <f t="shared" ref="D41" si="6">IFERROR(AVERAGE(D34:D40), )</f>
        <v>0</v>
      </c>
      <c r="E41" s="296">
        <f t="shared" ref="E41:F41" si="7">SUM(E34:E40)</f>
        <v>0</v>
      </c>
      <c r="F41" s="296">
        <f t="shared" si="7"/>
        <v>0</v>
      </c>
      <c r="G41" s="288">
        <f t="shared" ref="G41:I41" si="8">IFERROR(AVERAGE(G34:G40), )</f>
        <v>0</v>
      </c>
      <c r="H41" s="210">
        <f t="shared" si="8"/>
        <v>0</v>
      </c>
      <c r="I41" s="210">
        <f t="shared" si="8"/>
        <v>0</v>
      </c>
      <c r="J41" s="202"/>
      <c r="K41" s="38"/>
      <c r="L41" s="16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  <c r="AI41" s="166"/>
      <c r="AJ41" s="166"/>
      <c r="AK41" s="166"/>
      <c r="AL41" s="166"/>
      <c r="AM41" s="166"/>
      <c r="AN41" s="166"/>
      <c r="AO41" s="166"/>
      <c r="AP41" s="166"/>
      <c r="AQ41" s="166"/>
      <c r="AR41" s="166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  <c r="BK41" s="166"/>
      <c r="BL41" s="166"/>
      <c r="BM41" s="166"/>
      <c r="BN41" s="166"/>
      <c r="BO41" s="166"/>
      <c r="BP41" s="166"/>
      <c r="BQ41" s="166"/>
      <c r="BR41" s="166"/>
      <c r="BS41" s="166"/>
      <c r="BT41" s="166"/>
      <c r="BU41" s="166"/>
      <c r="BV41" s="166"/>
      <c r="BW41" s="166"/>
      <c r="BX41" s="166"/>
      <c r="BY41" s="166"/>
      <c r="BZ41" s="166"/>
      <c r="CA41" s="166"/>
      <c r="CB41" s="166"/>
      <c r="CC41" s="166"/>
      <c r="CD41" s="166"/>
      <c r="CE41" s="166"/>
      <c r="CF41" s="166"/>
      <c r="CG41" s="166"/>
      <c r="CH41" s="166"/>
      <c r="CI41" s="166"/>
      <c r="CJ41" s="166"/>
      <c r="CK41" s="166"/>
      <c r="CL41" s="166"/>
      <c r="CM41" s="166"/>
      <c r="CN41" s="166"/>
      <c r="CO41" s="166"/>
      <c r="CP41" s="166"/>
      <c r="CQ41" s="166"/>
      <c r="CR41" s="166"/>
      <c r="CS41" s="166"/>
      <c r="CT41" s="166"/>
      <c r="CU41" s="166"/>
      <c r="CV41" s="166"/>
      <c r="CW41" s="166"/>
      <c r="CX41" s="166"/>
      <c r="CY41" s="166"/>
      <c r="CZ41" s="166"/>
      <c r="DA41" s="166"/>
      <c r="DB41" s="166"/>
      <c r="DC41" s="166"/>
      <c r="DD41" s="166"/>
      <c r="DE41" s="166"/>
      <c r="DF41" s="166"/>
      <c r="DG41" s="166"/>
      <c r="DH41" s="166"/>
      <c r="DI41" s="166"/>
      <c r="DJ41" s="166"/>
      <c r="DK41" s="166"/>
      <c r="DL41" s="166"/>
      <c r="DM41" s="166"/>
      <c r="DN41" s="166"/>
      <c r="DO41" s="166"/>
      <c r="DP41" s="166"/>
      <c r="DQ41" s="166"/>
      <c r="DR41" s="166"/>
      <c r="DS41" s="166"/>
      <c r="DT41" s="166"/>
      <c r="DU41" s="166"/>
      <c r="DV41" s="166"/>
      <c r="DW41" s="166"/>
      <c r="DX41" s="166"/>
      <c r="DY41" s="166"/>
      <c r="DZ41" s="166"/>
      <c r="EA41" s="166"/>
      <c r="EB41" s="166"/>
      <c r="EC41" s="166"/>
      <c r="ED41" s="166"/>
      <c r="EE41" s="166"/>
      <c r="EF41" s="166"/>
      <c r="EG41" s="166"/>
      <c r="EH41" s="166"/>
      <c r="EI41" s="166"/>
      <c r="EJ41" s="166"/>
      <c r="EK41" s="166"/>
      <c r="EL41" s="166"/>
      <c r="EM41" s="166"/>
      <c r="EN41" s="166"/>
      <c r="EO41" s="166"/>
      <c r="EP41" s="166"/>
      <c r="EQ41" s="166"/>
      <c r="ER41" s="166"/>
      <c r="ES41" s="166"/>
      <c r="ET41" s="166"/>
      <c r="EU41" s="166"/>
      <c r="EV41" s="166"/>
      <c r="EW41" s="166"/>
      <c r="EX41" s="166"/>
      <c r="EY41" s="166"/>
      <c r="EZ41" s="166"/>
      <c r="FA41" s="166"/>
      <c r="FB41" s="166"/>
      <c r="FC41" s="166"/>
      <c r="FD41" s="166"/>
      <c r="FE41" s="166"/>
      <c r="FF41" s="166"/>
      <c r="FG41" s="166"/>
      <c r="FH41" s="166"/>
      <c r="FI41" s="166"/>
      <c r="FJ41" s="166"/>
      <c r="FK41" s="166"/>
      <c r="FL41" s="166"/>
      <c r="FM41" s="166"/>
      <c r="FN41" s="166"/>
      <c r="FO41" s="166"/>
      <c r="FP41" s="166"/>
      <c r="FQ41" s="166"/>
      <c r="FR41" s="166"/>
      <c r="FS41" s="166"/>
      <c r="FT41" s="166"/>
      <c r="FU41" s="166"/>
      <c r="FV41" s="166"/>
      <c r="FW41" s="166"/>
      <c r="FX41" s="166"/>
      <c r="FY41" s="166"/>
      <c r="FZ41" s="166"/>
      <c r="GA41" s="166"/>
      <c r="GB41" s="166"/>
      <c r="GC41" s="166"/>
      <c r="GD41" s="166"/>
      <c r="GE41" s="166"/>
      <c r="GF41" s="166"/>
      <c r="GG41" s="166"/>
      <c r="GH41" s="166"/>
      <c r="GI41" s="166"/>
      <c r="GJ41" s="166"/>
      <c r="GK41" s="166"/>
      <c r="GL41" s="166"/>
      <c r="GM41" s="166"/>
      <c r="GN41" s="166"/>
      <c r="GO41" s="166"/>
      <c r="GP41" s="166"/>
      <c r="GQ41" s="166"/>
      <c r="GR41" s="166"/>
      <c r="GS41" s="166"/>
      <c r="GT41" s="166"/>
      <c r="GU41" s="166"/>
      <c r="GV41" s="166"/>
      <c r="GW41" s="166"/>
      <c r="GX41" s="166"/>
      <c r="GY41" s="166"/>
      <c r="GZ41" s="166"/>
      <c r="HA41" s="166"/>
      <c r="HB41" s="166"/>
      <c r="HC41" s="166"/>
      <c r="HD41" s="166"/>
      <c r="HE41" s="166"/>
      <c r="HF41" s="166"/>
      <c r="HG41" s="166"/>
      <c r="HH41" s="166"/>
      <c r="HI41" s="166"/>
      <c r="HJ41" s="166"/>
      <c r="HK41" s="166"/>
      <c r="HL41" s="166"/>
      <c r="HM41" s="166"/>
      <c r="HN41" s="166"/>
      <c r="HO41" s="166"/>
      <c r="HP41" s="166"/>
      <c r="HQ41" s="166"/>
      <c r="HR41" s="166"/>
      <c r="HS41" s="166"/>
      <c r="HT41" s="166"/>
      <c r="HU41" s="166"/>
      <c r="HV41" s="166"/>
      <c r="HW41" s="166"/>
      <c r="HX41" s="166"/>
      <c r="HY41" s="166"/>
      <c r="HZ41" s="166"/>
      <c r="IA41" s="166"/>
      <c r="IB41" s="166"/>
      <c r="IC41" s="166"/>
      <c r="ID41" s="166"/>
      <c r="IE41" s="166"/>
      <c r="IF41" s="166"/>
      <c r="IG41" s="166"/>
      <c r="IH41" s="166"/>
      <c r="II41" s="166"/>
      <c r="IJ41" s="166"/>
      <c r="IK41" s="166"/>
      <c r="IL41" s="166"/>
      <c r="IM41" s="166"/>
      <c r="IN41" s="166"/>
      <c r="IO41" s="166"/>
      <c r="IP41" s="166"/>
      <c r="IQ41" s="166"/>
      <c r="IR41" s="166"/>
      <c r="IS41" s="166"/>
      <c r="IT41" s="166"/>
      <c r="IU41" s="166"/>
      <c r="IV41" s="166"/>
    </row>
    <row r="42" spans="1:256" s="166" customFormat="1" x14ac:dyDescent="0.25">
      <c r="A42" s="325">
        <f>IF(Info!$J$3&gt;0,Info!$J$3+B42, )</f>
        <v>0</v>
      </c>
      <c r="B42" s="215">
        <v>36</v>
      </c>
      <c r="C42" s="299"/>
      <c r="D42" s="211"/>
      <c r="E42" s="294"/>
      <c r="F42" s="294"/>
      <c r="G42" s="211"/>
      <c r="H42" s="211"/>
      <c r="I42" s="211"/>
      <c r="J42" s="204"/>
      <c r="K42" s="38"/>
    </row>
    <row r="43" spans="1:256" s="166" customFormat="1" x14ac:dyDescent="0.25">
      <c r="A43" s="325">
        <f>IF(Info!$J$3&gt;0,Info!$J$3+B43, )</f>
        <v>0</v>
      </c>
      <c r="B43" s="215">
        <v>37</v>
      </c>
      <c r="C43" s="299"/>
      <c r="D43" s="211"/>
      <c r="E43" s="294"/>
      <c r="F43" s="294"/>
      <c r="G43" s="211"/>
      <c r="H43" s="211"/>
      <c r="I43" s="211"/>
      <c r="J43" s="205"/>
      <c r="K43" s="38"/>
    </row>
    <row r="44" spans="1:256" s="166" customFormat="1" x14ac:dyDescent="0.25">
      <c r="A44" s="325">
        <f>IF(Info!$J$3&gt;0,Info!$J$3+B44, )</f>
        <v>0</v>
      </c>
      <c r="B44" s="215">
        <v>38</v>
      </c>
      <c r="C44" s="299"/>
      <c r="D44" s="211"/>
      <c r="E44" s="294"/>
      <c r="F44" s="294"/>
      <c r="G44" s="211"/>
      <c r="H44" s="211"/>
      <c r="I44" s="211"/>
      <c r="J44" s="205"/>
      <c r="K44" s="38"/>
    </row>
    <row r="45" spans="1:256" s="166" customFormat="1" x14ac:dyDescent="0.25">
      <c r="A45" s="325">
        <f>IF(Info!$J$3&gt;0,Info!$J$3+B45, )</f>
        <v>0</v>
      </c>
      <c r="B45" s="215">
        <v>39</v>
      </c>
      <c r="C45" s="300"/>
      <c r="D45" s="211"/>
      <c r="E45" s="294"/>
      <c r="F45" s="294"/>
      <c r="G45" s="211"/>
      <c r="H45" s="211"/>
      <c r="I45" s="211"/>
      <c r="J45" s="205"/>
      <c r="K45" s="38"/>
    </row>
    <row r="46" spans="1:256" s="166" customFormat="1" x14ac:dyDescent="0.25">
      <c r="A46" s="325">
        <f>IF(Info!$J$3&gt;0,Info!$J$3+B46, )</f>
        <v>0</v>
      </c>
      <c r="B46" s="215">
        <v>40</v>
      </c>
      <c r="C46" s="299"/>
      <c r="D46" s="211"/>
      <c r="E46" s="294"/>
      <c r="F46" s="294"/>
      <c r="G46" s="211"/>
      <c r="H46" s="211"/>
      <c r="I46" s="211"/>
      <c r="J46" s="205"/>
      <c r="K46" s="38"/>
    </row>
    <row r="47" spans="1:256" s="166" customFormat="1" x14ac:dyDescent="0.25">
      <c r="A47" s="325">
        <f>IF(Info!$J$3&gt;0,Info!$J$3+B47, )</f>
        <v>0</v>
      </c>
      <c r="B47" s="215">
        <v>41</v>
      </c>
      <c r="C47" s="299"/>
      <c r="D47" s="211"/>
      <c r="E47" s="294"/>
      <c r="F47" s="294"/>
      <c r="G47" s="211"/>
      <c r="H47" s="211"/>
      <c r="I47" s="211"/>
      <c r="J47" s="205"/>
      <c r="K47" s="38"/>
    </row>
    <row r="48" spans="1:256" s="166" customFormat="1" x14ac:dyDescent="0.25">
      <c r="A48" s="325">
        <f>IF(Info!$J$3&gt;0,Info!$J$3+B48, )</f>
        <v>0</v>
      </c>
      <c r="B48" s="215">
        <v>42</v>
      </c>
      <c r="C48" s="300"/>
      <c r="D48" s="211"/>
      <c r="E48" s="294"/>
      <c r="F48" s="294"/>
      <c r="G48" s="211"/>
      <c r="H48" s="211"/>
      <c r="I48" s="211"/>
      <c r="J48" s="206"/>
      <c r="K48" s="38"/>
    </row>
    <row r="49" spans="1:256" s="201" customFormat="1" ht="13.5" customHeight="1" x14ac:dyDescent="0.25">
      <c r="A49" s="326">
        <f>A48</f>
        <v>0</v>
      </c>
      <c r="B49" s="207" t="str">
        <f>Traducción!$B$24&amp;" 6"</f>
        <v>Sem. 6</v>
      </c>
      <c r="C49" s="301">
        <f>SUM(C42:C48)</f>
        <v>0</v>
      </c>
      <c r="D49" s="288">
        <f t="shared" ref="D49" si="9">IFERROR(AVERAGE(D42:D48), )</f>
        <v>0</v>
      </c>
      <c r="E49" s="296">
        <f t="shared" ref="E49:F49" si="10">SUM(E42:E48)</f>
        <v>0</v>
      </c>
      <c r="F49" s="296">
        <f t="shared" si="10"/>
        <v>0</v>
      </c>
      <c r="G49" s="288">
        <f t="shared" ref="G49:I49" si="11">IFERROR(AVERAGE(G42:G48), )</f>
        <v>0</v>
      </c>
      <c r="H49" s="210">
        <f t="shared" si="11"/>
        <v>0</v>
      </c>
      <c r="I49" s="210">
        <f t="shared" si="11"/>
        <v>0</v>
      </c>
      <c r="J49" s="202"/>
      <c r="K49" s="38"/>
      <c r="L49" s="16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  <c r="AI49" s="166"/>
      <c r="AJ49" s="166"/>
      <c r="AK49" s="166"/>
      <c r="AL49" s="166"/>
      <c r="AM49" s="166"/>
      <c r="AN49" s="166"/>
      <c r="AO49" s="166"/>
      <c r="AP49" s="166"/>
      <c r="AQ49" s="166"/>
      <c r="AR49" s="166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  <c r="BK49" s="166"/>
      <c r="BL49" s="166"/>
      <c r="BM49" s="166"/>
      <c r="BN49" s="166"/>
      <c r="BO49" s="166"/>
      <c r="BP49" s="166"/>
      <c r="BQ49" s="166"/>
      <c r="BR49" s="166"/>
      <c r="BS49" s="166"/>
      <c r="BT49" s="166"/>
      <c r="BU49" s="166"/>
      <c r="BV49" s="166"/>
      <c r="BW49" s="166"/>
      <c r="BX49" s="166"/>
      <c r="BY49" s="166"/>
      <c r="BZ49" s="166"/>
      <c r="CA49" s="166"/>
      <c r="CB49" s="166"/>
      <c r="CC49" s="166"/>
      <c r="CD49" s="166"/>
      <c r="CE49" s="166"/>
      <c r="CF49" s="166"/>
      <c r="CG49" s="166"/>
      <c r="CH49" s="166"/>
      <c r="CI49" s="166"/>
      <c r="CJ49" s="166"/>
      <c r="CK49" s="166"/>
      <c r="CL49" s="166"/>
      <c r="CM49" s="166"/>
      <c r="CN49" s="166"/>
      <c r="CO49" s="166"/>
      <c r="CP49" s="166"/>
      <c r="CQ49" s="166"/>
      <c r="CR49" s="166"/>
      <c r="CS49" s="166"/>
      <c r="CT49" s="166"/>
      <c r="CU49" s="166"/>
      <c r="CV49" s="166"/>
      <c r="CW49" s="166"/>
      <c r="CX49" s="166"/>
      <c r="CY49" s="166"/>
      <c r="CZ49" s="166"/>
      <c r="DA49" s="166"/>
      <c r="DB49" s="166"/>
      <c r="DC49" s="166"/>
      <c r="DD49" s="166"/>
      <c r="DE49" s="166"/>
      <c r="DF49" s="166"/>
      <c r="DG49" s="166"/>
      <c r="DH49" s="166"/>
      <c r="DI49" s="166"/>
      <c r="DJ49" s="166"/>
      <c r="DK49" s="166"/>
      <c r="DL49" s="166"/>
      <c r="DM49" s="166"/>
      <c r="DN49" s="166"/>
      <c r="DO49" s="166"/>
      <c r="DP49" s="166"/>
      <c r="DQ49" s="166"/>
      <c r="DR49" s="166"/>
      <c r="DS49" s="166"/>
      <c r="DT49" s="166"/>
      <c r="DU49" s="166"/>
      <c r="DV49" s="166"/>
      <c r="DW49" s="166"/>
      <c r="DX49" s="166"/>
      <c r="DY49" s="166"/>
      <c r="DZ49" s="166"/>
      <c r="EA49" s="166"/>
      <c r="EB49" s="166"/>
      <c r="EC49" s="166"/>
      <c r="ED49" s="166"/>
      <c r="EE49" s="166"/>
      <c r="EF49" s="166"/>
      <c r="EG49" s="166"/>
      <c r="EH49" s="166"/>
      <c r="EI49" s="166"/>
      <c r="EJ49" s="166"/>
      <c r="EK49" s="166"/>
      <c r="EL49" s="166"/>
      <c r="EM49" s="166"/>
      <c r="EN49" s="166"/>
      <c r="EO49" s="166"/>
      <c r="EP49" s="166"/>
      <c r="EQ49" s="166"/>
      <c r="ER49" s="166"/>
      <c r="ES49" s="166"/>
      <c r="ET49" s="166"/>
      <c r="EU49" s="166"/>
      <c r="EV49" s="166"/>
      <c r="EW49" s="166"/>
      <c r="EX49" s="166"/>
      <c r="EY49" s="166"/>
      <c r="EZ49" s="166"/>
      <c r="FA49" s="166"/>
      <c r="FB49" s="166"/>
      <c r="FC49" s="166"/>
      <c r="FD49" s="166"/>
      <c r="FE49" s="166"/>
      <c r="FF49" s="166"/>
      <c r="FG49" s="166"/>
      <c r="FH49" s="166"/>
      <c r="FI49" s="166"/>
      <c r="FJ49" s="166"/>
      <c r="FK49" s="166"/>
      <c r="FL49" s="166"/>
      <c r="FM49" s="166"/>
      <c r="FN49" s="166"/>
      <c r="FO49" s="166"/>
      <c r="FP49" s="166"/>
      <c r="FQ49" s="166"/>
      <c r="FR49" s="166"/>
      <c r="FS49" s="166"/>
      <c r="FT49" s="166"/>
      <c r="FU49" s="166"/>
      <c r="FV49" s="166"/>
      <c r="FW49" s="166"/>
      <c r="FX49" s="166"/>
      <c r="FY49" s="166"/>
      <c r="FZ49" s="166"/>
      <c r="GA49" s="166"/>
      <c r="GB49" s="166"/>
      <c r="GC49" s="166"/>
      <c r="GD49" s="166"/>
      <c r="GE49" s="166"/>
      <c r="GF49" s="166"/>
      <c r="GG49" s="166"/>
      <c r="GH49" s="166"/>
      <c r="GI49" s="166"/>
      <c r="GJ49" s="166"/>
      <c r="GK49" s="166"/>
      <c r="GL49" s="166"/>
      <c r="GM49" s="166"/>
      <c r="GN49" s="166"/>
      <c r="GO49" s="166"/>
      <c r="GP49" s="166"/>
      <c r="GQ49" s="166"/>
      <c r="GR49" s="166"/>
      <c r="GS49" s="166"/>
      <c r="GT49" s="166"/>
      <c r="GU49" s="166"/>
      <c r="GV49" s="166"/>
      <c r="GW49" s="166"/>
      <c r="GX49" s="166"/>
      <c r="GY49" s="166"/>
      <c r="GZ49" s="166"/>
      <c r="HA49" s="166"/>
      <c r="HB49" s="166"/>
      <c r="HC49" s="166"/>
      <c r="HD49" s="166"/>
      <c r="HE49" s="166"/>
      <c r="HF49" s="166"/>
      <c r="HG49" s="166"/>
      <c r="HH49" s="166"/>
      <c r="HI49" s="166"/>
      <c r="HJ49" s="166"/>
      <c r="HK49" s="166"/>
      <c r="HL49" s="166"/>
      <c r="HM49" s="166"/>
      <c r="HN49" s="166"/>
      <c r="HO49" s="166"/>
      <c r="HP49" s="166"/>
      <c r="HQ49" s="166"/>
      <c r="HR49" s="166"/>
      <c r="HS49" s="166"/>
      <c r="HT49" s="166"/>
      <c r="HU49" s="166"/>
      <c r="HV49" s="166"/>
      <c r="HW49" s="166"/>
      <c r="HX49" s="166"/>
      <c r="HY49" s="166"/>
      <c r="HZ49" s="166"/>
      <c r="IA49" s="166"/>
      <c r="IB49" s="166"/>
      <c r="IC49" s="166"/>
      <c r="ID49" s="166"/>
      <c r="IE49" s="166"/>
      <c r="IF49" s="166"/>
      <c r="IG49" s="166"/>
      <c r="IH49" s="166"/>
      <c r="II49" s="166"/>
      <c r="IJ49" s="166"/>
      <c r="IK49" s="166"/>
      <c r="IL49" s="166"/>
      <c r="IM49" s="166"/>
      <c r="IN49" s="166"/>
      <c r="IO49" s="166"/>
      <c r="IP49" s="166"/>
      <c r="IQ49" s="166"/>
      <c r="IR49" s="166"/>
      <c r="IS49" s="166"/>
      <c r="IT49" s="166"/>
      <c r="IU49" s="166"/>
      <c r="IV49" s="166"/>
    </row>
    <row r="50" spans="1:256" s="166" customFormat="1" x14ac:dyDescent="0.25">
      <c r="A50" s="325">
        <f>IF(Info!$J$3&gt;0,Info!$J$3+B50, )</f>
        <v>0</v>
      </c>
      <c r="B50" s="215">
        <v>43</v>
      </c>
      <c r="C50" s="299"/>
      <c r="D50" s="211"/>
      <c r="E50" s="294"/>
      <c r="F50" s="294"/>
      <c r="G50" s="211"/>
      <c r="H50" s="211"/>
      <c r="I50" s="211"/>
      <c r="J50" s="204"/>
      <c r="K50" s="38"/>
    </row>
    <row r="51" spans="1:256" s="166" customFormat="1" x14ac:dyDescent="0.25">
      <c r="A51" s="325">
        <f>IF(Info!$J$3&gt;0,Info!$J$3+B51, )</f>
        <v>0</v>
      </c>
      <c r="B51" s="215">
        <v>44</v>
      </c>
      <c r="C51" s="299"/>
      <c r="D51" s="211"/>
      <c r="E51" s="294"/>
      <c r="F51" s="294"/>
      <c r="G51" s="211"/>
      <c r="H51" s="211"/>
      <c r="I51" s="211"/>
      <c r="J51" s="205"/>
      <c r="K51" s="38"/>
    </row>
    <row r="52" spans="1:256" s="166" customFormat="1" x14ac:dyDescent="0.25">
      <c r="A52" s="325">
        <f>IF(Info!$J$3&gt;0,Info!$J$3+B52, )</f>
        <v>0</v>
      </c>
      <c r="B52" s="215">
        <v>45</v>
      </c>
      <c r="C52" s="300"/>
      <c r="D52" s="211"/>
      <c r="E52" s="294"/>
      <c r="F52" s="294"/>
      <c r="G52" s="211"/>
      <c r="H52" s="211"/>
      <c r="I52" s="211"/>
      <c r="J52" s="205"/>
      <c r="K52" s="38"/>
    </row>
    <row r="53" spans="1:256" s="166" customFormat="1" x14ac:dyDescent="0.25">
      <c r="A53" s="325">
        <f>IF(Info!$J$3&gt;0,Info!$J$3+B53, )</f>
        <v>0</v>
      </c>
      <c r="B53" s="215">
        <v>46</v>
      </c>
      <c r="C53" s="299"/>
      <c r="D53" s="211"/>
      <c r="E53" s="294"/>
      <c r="F53" s="294"/>
      <c r="G53" s="211"/>
      <c r="H53" s="211"/>
      <c r="I53" s="211"/>
      <c r="J53" s="205"/>
      <c r="K53" s="38"/>
    </row>
    <row r="54" spans="1:256" s="166" customFormat="1" x14ac:dyDescent="0.25">
      <c r="A54" s="325">
        <f>IF(Info!$J$3&gt;0,Info!$J$3+B54, )</f>
        <v>0</v>
      </c>
      <c r="B54" s="215">
        <v>47</v>
      </c>
      <c r="C54" s="299"/>
      <c r="D54" s="211"/>
      <c r="E54" s="294"/>
      <c r="F54" s="294"/>
      <c r="G54" s="211"/>
      <c r="H54" s="211"/>
      <c r="I54" s="211"/>
      <c r="J54" s="205"/>
      <c r="K54" s="38"/>
    </row>
    <row r="55" spans="1:256" s="166" customFormat="1" x14ac:dyDescent="0.25">
      <c r="A55" s="325">
        <f>IF(Info!$J$3&gt;0,Info!$J$3+B55, )</f>
        <v>0</v>
      </c>
      <c r="B55" s="215">
        <v>48</v>
      </c>
      <c r="C55" s="300"/>
      <c r="D55" s="211"/>
      <c r="E55" s="294"/>
      <c r="F55" s="294"/>
      <c r="G55" s="211"/>
      <c r="H55" s="211"/>
      <c r="I55" s="211"/>
      <c r="J55" s="205"/>
      <c r="K55" s="38"/>
    </row>
    <row r="56" spans="1:256" s="166" customFormat="1" x14ac:dyDescent="0.25">
      <c r="A56" s="325">
        <f>IF(Info!$J$3&gt;0,Info!$J$3+B56, )</f>
        <v>0</v>
      </c>
      <c r="B56" s="215">
        <v>49</v>
      </c>
      <c r="C56" s="299"/>
      <c r="D56" s="211"/>
      <c r="E56" s="294"/>
      <c r="F56" s="294"/>
      <c r="G56" s="211"/>
      <c r="H56" s="211"/>
      <c r="I56" s="211"/>
      <c r="J56" s="206"/>
      <c r="K56" s="38"/>
    </row>
    <row r="57" spans="1:256" s="201" customFormat="1" ht="13.5" customHeight="1" x14ac:dyDescent="0.25">
      <c r="A57" s="326">
        <f>A56</f>
        <v>0</v>
      </c>
      <c r="B57" s="207" t="str">
        <f>Traducción!$B$24&amp;" 7"</f>
        <v>Sem. 7</v>
      </c>
      <c r="C57" s="301">
        <f>SUM(C50:C56)</f>
        <v>0</v>
      </c>
      <c r="D57" s="288">
        <f t="shared" ref="D57" si="12">IFERROR(AVERAGE(D50:D56), )</f>
        <v>0</v>
      </c>
      <c r="E57" s="296">
        <f t="shared" ref="E57:F57" si="13">SUM(E50:E56)</f>
        <v>0</v>
      </c>
      <c r="F57" s="296">
        <f t="shared" si="13"/>
        <v>0</v>
      </c>
      <c r="G57" s="288">
        <f t="shared" ref="G57:I57" si="14">IFERROR(AVERAGE(G50:G56), )</f>
        <v>0</v>
      </c>
      <c r="H57" s="210">
        <f t="shared" si="14"/>
        <v>0</v>
      </c>
      <c r="I57" s="210">
        <f t="shared" si="14"/>
        <v>0</v>
      </c>
      <c r="J57" s="202"/>
      <c r="K57" s="38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166"/>
      <c r="AG57" s="166"/>
      <c r="AH57" s="166"/>
      <c r="AI57" s="166"/>
      <c r="AJ57" s="166"/>
      <c r="AK57" s="166"/>
      <c r="AL57" s="166"/>
      <c r="AM57" s="166"/>
      <c r="AN57" s="166"/>
      <c r="AO57" s="166"/>
      <c r="AP57" s="166"/>
      <c r="AQ57" s="166"/>
      <c r="AR57" s="166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  <c r="BK57" s="166"/>
      <c r="BL57" s="166"/>
      <c r="BM57" s="166"/>
      <c r="BN57" s="166"/>
      <c r="BO57" s="166"/>
      <c r="BP57" s="166"/>
      <c r="BQ57" s="166"/>
      <c r="BR57" s="166"/>
      <c r="BS57" s="166"/>
      <c r="BT57" s="166"/>
      <c r="BU57" s="166"/>
      <c r="BV57" s="166"/>
      <c r="BW57" s="166"/>
      <c r="BX57" s="166"/>
      <c r="BY57" s="166"/>
      <c r="BZ57" s="166"/>
      <c r="CA57" s="166"/>
      <c r="CB57" s="166"/>
      <c r="CC57" s="166"/>
      <c r="CD57" s="166"/>
      <c r="CE57" s="166"/>
      <c r="CF57" s="166"/>
      <c r="CG57" s="166"/>
      <c r="CH57" s="166"/>
      <c r="CI57" s="166"/>
      <c r="CJ57" s="166"/>
      <c r="CK57" s="166"/>
      <c r="CL57" s="166"/>
      <c r="CM57" s="166"/>
      <c r="CN57" s="166"/>
      <c r="CO57" s="166"/>
      <c r="CP57" s="166"/>
      <c r="CQ57" s="166"/>
      <c r="CR57" s="166"/>
      <c r="CS57" s="166"/>
      <c r="CT57" s="166"/>
      <c r="CU57" s="166"/>
      <c r="CV57" s="166"/>
      <c r="CW57" s="166"/>
      <c r="CX57" s="166"/>
      <c r="CY57" s="166"/>
      <c r="CZ57" s="166"/>
      <c r="DA57" s="166"/>
      <c r="DB57" s="166"/>
      <c r="DC57" s="166"/>
      <c r="DD57" s="166"/>
      <c r="DE57" s="166"/>
      <c r="DF57" s="166"/>
      <c r="DG57" s="166"/>
      <c r="DH57" s="166"/>
      <c r="DI57" s="166"/>
      <c r="DJ57" s="166"/>
      <c r="DK57" s="166"/>
      <c r="DL57" s="166"/>
      <c r="DM57" s="166"/>
      <c r="DN57" s="166"/>
      <c r="DO57" s="166"/>
      <c r="DP57" s="166"/>
      <c r="DQ57" s="166"/>
      <c r="DR57" s="166"/>
      <c r="DS57" s="166"/>
      <c r="DT57" s="166"/>
      <c r="DU57" s="166"/>
      <c r="DV57" s="166"/>
      <c r="DW57" s="166"/>
      <c r="DX57" s="166"/>
      <c r="DY57" s="166"/>
      <c r="DZ57" s="166"/>
      <c r="EA57" s="166"/>
      <c r="EB57" s="166"/>
      <c r="EC57" s="166"/>
      <c r="ED57" s="166"/>
      <c r="EE57" s="166"/>
      <c r="EF57" s="166"/>
      <c r="EG57" s="166"/>
      <c r="EH57" s="166"/>
      <c r="EI57" s="166"/>
      <c r="EJ57" s="166"/>
      <c r="EK57" s="166"/>
      <c r="EL57" s="166"/>
      <c r="EM57" s="166"/>
      <c r="EN57" s="166"/>
      <c r="EO57" s="166"/>
      <c r="EP57" s="166"/>
      <c r="EQ57" s="166"/>
      <c r="ER57" s="166"/>
      <c r="ES57" s="166"/>
      <c r="ET57" s="166"/>
      <c r="EU57" s="166"/>
      <c r="EV57" s="166"/>
      <c r="EW57" s="166"/>
      <c r="EX57" s="166"/>
      <c r="EY57" s="166"/>
      <c r="EZ57" s="166"/>
      <c r="FA57" s="166"/>
      <c r="FB57" s="166"/>
      <c r="FC57" s="166"/>
      <c r="FD57" s="166"/>
      <c r="FE57" s="166"/>
      <c r="FF57" s="166"/>
      <c r="FG57" s="166"/>
      <c r="FH57" s="166"/>
      <c r="FI57" s="166"/>
      <c r="FJ57" s="166"/>
      <c r="FK57" s="166"/>
      <c r="FL57" s="166"/>
      <c r="FM57" s="166"/>
      <c r="FN57" s="166"/>
      <c r="FO57" s="166"/>
      <c r="FP57" s="166"/>
      <c r="FQ57" s="166"/>
      <c r="FR57" s="166"/>
      <c r="FS57" s="166"/>
      <c r="FT57" s="166"/>
      <c r="FU57" s="166"/>
      <c r="FV57" s="166"/>
      <c r="FW57" s="166"/>
      <c r="FX57" s="166"/>
      <c r="FY57" s="166"/>
      <c r="FZ57" s="166"/>
      <c r="GA57" s="166"/>
      <c r="GB57" s="166"/>
      <c r="GC57" s="166"/>
      <c r="GD57" s="166"/>
      <c r="GE57" s="166"/>
      <c r="GF57" s="166"/>
      <c r="GG57" s="166"/>
      <c r="GH57" s="166"/>
      <c r="GI57" s="166"/>
      <c r="GJ57" s="166"/>
      <c r="GK57" s="166"/>
      <c r="GL57" s="166"/>
      <c r="GM57" s="166"/>
      <c r="GN57" s="166"/>
      <c r="GO57" s="166"/>
      <c r="GP57" s="166"/>
      <c r="GQ57" s="166"/>
      <c r="GR57" s="166"/>
      <c r="GS57" s="166"/>
      <c r="GT57" s="166"/>
      <c r="GU57" s="166"/>
      <c r="GV57" s="166"/>
      <c r="GW57" s="166"/>
      <c r="GX57" s="166"/>
      <c r="GY57" s="166"/>
      <c r="GZ57" s="166"/>
      <c r="HA57" s="166"/>
      <c r="HB57" s="166"/>
      <c r="HC57" s="166"/>
      <c r="HD57" s="166"/>
      <c r="HE57" s="166"/>
      <c r="HF57" s="166"/>
      <c r="HG57" s="166"/>
      <c r="HH57" s="166"/>
      <c r="HI57" s="166"/>
      <c r="HJ57" s="166"/>
      <c r="HK57" s="166"/>
      <c r="HL57" s="166"/>
      <c r="HM57" s="166"/>
      <c r="HN57" s="166"/>
      <c r="HO57" s="166"/>
      <c r="HP57" s="166"/>
      <c r="HQ57" s="166"/>
      <c r="HR57" s="166"/>
      <c r="HS57" s="166"/>
      <c r="HT57" s="166"/>
      <c r="HU57" s="166"/>
      <c r="HV57" s="166"/>
      <c r="HW57" s="166"/>
      <c r="HX57" s="166"/>
      <c r="HY57" s="166"/>
      <c r="HZ57" s="166"/>
      <c r="IA57" s="166"/>
      <c r="IB57" s="166"/>
      <c r="IC57" s="166"/>
      <c r="ID57" s="166"/>
      <c r="IE57" s="166"/>
      <c r="IF57" s="166"/>
      <c r="IG57" s="166"/>
      <c r="IH57" s="166"/>
      <c r="II57" s="166"/>
      <c r="IJ57" s="166"/>
      <c r="IK57" s="166"/>
      <c r="IL57" s="166"/>
      <c r="IM57" s="166"/>
      <c r="IN57" s="166"/>
      <c r="IO57" s="166"/>
      <c r="IP57" s="166"/>
      <c r="IQ57" s="166"/>
      <c r="IR57" s="166"/>
      <c r="IS57" s="166"/>
      <c r="IT57" s="166"/>
      <c r="IU57" s="166"/>
      <c r="IV57" s="166"/>
    </row>
    <row r="58" spans="1:256" s="166" customFormat="1" x14ac:dyDescent="0.25">
      <c r="A58" s="325">
        <f>IF(Info!$J$3&gt;0,Info!$J$3+B58, )</f>
        <v>0</v>
      </c>
      <c r="B58" s="215">
        <v>50</v>
      </c>
      <c r="C58" s="299"/>
      <c r="D58" s="211"/>
      <c r="E58" s="294"/>
      <c r="F58" s="294"/>
      <c r="G58" s="211"/>
      <c r="H58" s="211"/>
      <c r="I58" s="211"/>
      <c r="J58" s="204"/>
      <c r="K58" s="38"/>
    </row>
    <row r="59" spans="1:256" s="166" customFormat="1" x14ac:dyDescent="0.25">
      <c r="A59" s="325">
        <f>IF(Info!$J$3&gt;0,Info!$J$3+B59, )</f>
        <v>0</v>
      </c>
      <c r="B59" s="215">
        <v>51</v>
      </c>
      <c r="C59" s="300"/>
      <c r="D59" s="211"/>
      <c r="E59" s="294"/>
      <c r="F59" s="294"/>
      <c r="G59" s="211"/>
      <c r="H59" s="211"/>
      <c r="I59" s="211"/>
      <c r="J59" s="205"/>
      <c r="K59" s="38"/>
    </row>
    <row r="60" spans="1:256" s="166" customFormat="1" x14ac:dyDescent="0.25">
      <c r="A60" s="325">
        <f>IF(Info!$J$3&gt;0,Info!$J$3+B60, )</f>
        <v>0</v>
      </c>
      <c r="B60" s="215">
        <v>52</v>
      </c>
      <c r="C60" s="299"/>
      <c r="D60" s="211"/>
      <c r="E60" s="294"/>
      <c r="F60" s="294"/>
      <c r="G60" s="211"/>
      <c r="H60" s="211"/>
      <c r="I60" s="211"/>
      <c r="J60" s="205"/>
      <c r="K60" s="38"/>
    </row>
    <row r="61" spans="1:256" s="166" customFormat="1" x14ac:dyDescent="0.25">
      <c r="A61" s="325">
        <f>IF(Info!$J$3&gt;0,Info!$J$3+B61, )</f>
        <v>0</v>
      </c>
      <c r="B61" s="215">
        <v>53</v>
      </c>
      <c r="C61" s="299"/>
      <c r="D61" s="211"/>
      <c r="E61" s="294"/>
      <c r="F61" s="294"/>
      <c r="G61" s="211"/>
      <c r="H61" s="211"/>
      <c r="I61" s="211"/>
      <c r="J61" s="205"/>
      <c r="K61" s="38"/>
    </row>
    <row r="62" spans="1:256" s="166" customFormat="1" x14ac:dyDescent="0.25">
      <c r="A62" s="325">
        <f>IF(Info!$J$3&gt;0,Info!$J$3+B62, )</f>
        <v>0</v>
      </c>
      <c r="B62" s="215">
        <v>54</v>
      </c>
      <c r="C62" s="300"/>
      <c r="D62" s="211"/>
      <c r="E62" s="294"/>
      <c r="F62" s="294"/>
      <c r="G62" s="211"/>
      <c r="H62" s="211"/>
      <c r="I62" s="211"/>
      <c r="J62" s="205"/>
      <c r="K62" s="38"/>
    </row>
    <row r="63" spans="1:256" s="166" customFormat="1" x14ac:dyDescent="0.25">
      <c r="A63" s="325">
        <f>IF(Info!$J$3&gt;0,Info!$J$3+B63, )</f>
        <v>0</v>
      </c>
      <c r="B63" s="215">
        <v>55</v>
      </c>
      <c r="C63" s="299"/>
      <c r="D63" s="211"/>
      <c r="E63" s="294"/>
      <c r="F63" s="294"/>
      <c r="G63" s="211"/>
      <c r="H63" s="211"/>
      <c r="I63" s="211"/>
      <c r="J63" s="205"/>
      <c r="K63" s="38"/>
    </row>
    <row r="64" spans="1:256" s="166" customFormat="1" x14ac:dyDescent="0.25">
      <c r="A64" s="325">
        <f>IF(Info!$J$3&gt;0,Info!$J$3+B64, )</f>
        <v>0</v>
      </c>
      <c r="B64" s="215">
        <v>56</v>
      </c>
      <c r="C64" s="299"/>
      <c r="D64" s="211"/>
      <c r="E64" s="294"/>
      <c r="F64" s="294"/>
      <c r="G64" s="211"/>
      <c r="H64" s="211"/>
      <c r="I64" s="211"/>
      <c r="J64" s="206"/>
      <c r="K64" s="38"/>
    </row>
    <row r="65" spans="1:256" s="201" customFormat="1" ht="13.5" customHeight="1" x14ac:dyDescent="0.25">
      <c r="A65" s="326">
        <f>A64</f>
        <v>0</v>
      </c>
      <c r="B65" s="207" t="str">
        <f>Traducción!$B$24&amp;" 8"</f>
        <v>Sem. 8</v>
      </c>
      <c r="C65" s="301">
        <f>SUM(C58:C64)</f>
        <v>0</v>
      </c>
      <c r="D65" s="288">
        <f t="shared" ref="D65" si="15">IFERROR(AVERAGE(D58:D64), )</f>
        <v>0</v>
      </c>
      <c r="E65" s="296">
        <f t="shared" ref="E65:F65" si="16">SUM(E58:E64)</f>
        <v>0</v>
      </c>
      <c r="F65" s="296">
        <f t="shared" si="16"/>
        <v>0</v>
      </c>
      <c r="G65" s="288">
        <f t="shared" ref="G65:I65" si="17">IFERROR(AVERAGE(G58:G64), )</f>
        <v>0</v>
      </c>
      <c r="H65" s="210">
        <f t="shared" si="17"/>
        <v>0</v>
      </c>
      <c r="I65" s="210">
        <f t="shared" si="17"/>
        <v>0</v>
      </c>
      <c r="J65" s="202"/>
      <c r="K65" s="38"/>
      <c r="L65" s="166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  <c r="Z65" s="166"/>
      <c r="AA65" s="166"/>
      <c r="AB65" s="166"/>
      <c r="AC65" s="166"/>
      <c r="AD65" s="166"/>
      <c r="AE65" s="166"/>
      <c r="AF65" s="166"/>
      <c r="AG65" s="166"/>
      <c r="AH65" s="166"/>
      <c r="AI65" s="166"/>
      <c r="AJ65" s="166"/>
      <c r="AK65" s="166"/>
      <c r="AL65" s="166"/>
      <c r="AM65" s="166"/>
      <c r="AN65" s="166"/>
      <c r="AO65" s="166"/>
      <c r="AP65" s="166"/>
      <c r="AQ65" s="166"/>
      <c r="AR65" s="166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  <c r="BK65" s="166"/>
      <c r="BL65" s="166"/>
      <c r="BM65" s="166"/>
      <c r="BN65" s="166"/>
      <c r="BO65" s="166"/>
      <c r="BP65" s="166"/>
      <c r="BQ65" s="166"/>
      <c r="BR65" s="166"/>
      <c r="BS65" s="166"/>
      <c r="BT65" s="166"/>
      <c r="BU65" s="166"/>
      <c r="BV65" s="166"/>
      <c r="BW65" s="166"/>
      <c r="BX65" s="166"/>
      <c r="BY65" s="166"/>
      <c r="BZ65" s="166"/>
      <c r="CA65" s="166"/>
      <c r="CB65" s="166"/>
      <c r="CC65" s="166"/>
      <c r="CD65" s="166"/>
      <c r="CE65" s="166"/>
      <c r="CF65" s="166"/>
      <c r="CG65" s="166"/>
      <c r="CH65" s="166"/>
      <c r="CI65" s="166"/>
      <c r="CJ65" s="166"/>
      <c r="CK65" s="166"/>
      <c r="CL65" s="166"/>
      <c r="CM65" s="166"/>
      <c r="CN65" s="166"/>
      <c r="CO65" s="166"/>
      <c r="CP65" s="166"/>
      <c r="CQ65" s="166"/>
      <c r="CR65" s="166"/>
      <c r="CS65" s="166"/>
      <c r="CT65" s="166"/>
      <c r="CU65" s="166"/>
      <c r="CV65" s="166"/>
      <c r="CW65" s="166"/>
      <c r="CX65" s="166"/>
      <c r="CY65" s="166"/>
      <c r="CZ65" s="166"/>
      <c r="DA65" s="166"/>
      <c r="DB65" s="166"/>
      <c r="DC65" s="166"/>
      <c r="DD65" s="166"/>
      <c r="DE65" s="166"/>
      <c r="DF65" s="166"/>
      <c r="DG65" s="166"/>
      <c r="DH65" s="166"/>
      <c r="DI65" s="166"/>
      <c r="DJ65" s="166"/>
      <c r="DK65" s="166"/>
      <c r="DL65" s="166"/>
      <c r="DM65" s="166"/>
      <c r="DN65" s="166"/>
      <c r="DO65" s="166"/>
      <c r="DP65" s="166"/>
      <c r="DQ65" s="166"/>
      <c r="DR65" s="166"/>
      <c r="DS65" s="166"/>
      <c r="DT65" s="166"/>
      <c r="DU65" s="166"/>
      <c r="DV65" s="166"/>
      <c r="DW65" s="166"/>
      <c r="DX65" s="166"/>
      <c r="DY65" s="166"/>
      <c r="DZ65" s="166"/>
      <c r="EA65" s="166"/>
      <c r="EB65" s="166"/>
      <c r="EC65" s="166"/>
      <c r="ED65" s="166"/>
      <c r="EE65" s="166"/>
      <c r="EF65" s="166"/>
      <c r="EG65" s="166"/>
      <c r="EH65" s="166"/>
      <c r="EI65" s="166"/>
      <c r="EJ65" s="166"/>
      <c r="EK65" s="166"/>
      <c r="EL65" s="166"/>
      <c r="EM65" s="166"/>
      <c r="EN65" s="166"/>
      <c r="EO65" s="166"/>
      <c r="EP65" s="166"/>
      <c r="EQ65" s="166"/>
      <c r="ER65" s="166"/>
      <c r="ES65" s="166"/>
      <c r="ET65" s="166"/>
      <c r="EU65" s="166"/>
      <c r="EV65" s="166"/>
      <c r="EW65" s="166"/>
      <c r="EX65" s="166"/>
      <c r="EY65" s="166"/>
      <c r="EZ65" s="166"/>
      <c r="FA65" s="166"/>
      <c r="FB65" s="166"/>
      <c r="FC65" s="166"/>
      <c r="FD65" s="166"/>
      <c r="FE65" s="166"/>
      <c r="FF65" s="166"/>
      <c r="FG65" s="166"/>
      <c r="FH65" s="166"/>
      <c r="FI65" s="166"/>
      <c r="FJ65" s="166"/>
      <c r="FK65" s="166"/>
      <c r="FL65" s="166"/>
      <c r="FM65" s="166"/>
      <c r="FN65" s="166"/>
      <c r="FO65" s="166"/>
      <c r="FP65" s="166"/>
      <c r="FQ65" s="166"/>
      <c r="FR65" s="166"/>
      <c r="FS65" s="166"/>
      <c r="FT65" s="166"/>
      <c r="FU65" s="166"/>
      <c r="FV65" s="166"/>
      <c r="FW65" s="166"/>
      <c r="FX65" s="166"/>
      <c r="FY65" s="166"/>
      <c r="FZ65" s="166"/>
      <c r="GA65" s="166"/>
      <c r="GB65" s="166"/>
      <c r="GC65" s="166"/>
      <c r="GD65" s="166"/>
      <c r="GE65" s="166"/>
      <c r="GF65" s="166"/>
      <c r="GG65" s="166"/>
      <c r="GH65" s="166"/>
      <c r="GI65" s="166"/>
      <c r="GJ65" s="166"/>
      <c r="GK65" s="166"/>
      <c r="GL65" s="166"/>
      <c r="GM65" s="166"/>
      <c r="GN65" s="166"/>
      <c r="GO65" s="166"/>
      <c r="GP65" s="166"/>
      <c r="GQ65" s="166"/>
      <c r="GR65" s="166"/>
      <c r="GS65" s="166"/>
      <c r="GT65" s="166"/>
      <c r="GU65" s="166"/>
      <c r="GV65" s="166"/>
      <c r="GW65" s="166"/>
      <c r="GX65" s="166"/>
      <c r="GY65" s="166"/>
      <c r="GZ65" s="166"/>
      <c r="HA65" s="166"/>
      <c r="HB65" s="166"/>
      <c r="HC65" s="166"/>
      <c r="HD65" s="166"/>
      <c r="HE65" s="166"/>
      <c r="HF65" s="166"/>
      <c r="HG65" s="166"/>
      <c r="HH65" s="166"/>
      <c r="HI65" s="166"/>
      <c r="HJ65" s="166"/>
      <c r="HK65" s="166"/>
      <c r="HL65" s="166"/>
      <c r="HM65" s="166"/>
      <c r="HN65" s="166"/>
      <c r="HO65" s="166"/>
      <c r="HP65" s="166"/>
      <c r="HQ65" s="166"/>
      <c r="HR65" s="166"/>
      <c r="HS65" s="166"/>
      <c r="HT65" s="166"/>
      <c r="HU65" s="166"/>
      <c r="HV65" s="166"/>
      <c r="HW65" s="166"/>
      <c r="HX65" s="166"/>
      <c r="HY65" s="166"/>
      <c r="HZ65" s="166"/>
      <c r="IA65" s="166"/>
      <c r="IB65" s="166"/>
      <c r="IC65" s="166"/>
      <c r="ID65" s="166"/>
      <c r="IE65" s="166"/>
      <c r="IF65" s="166"/>
      <c r="IG65" s="166"/>
      <c r="IH65" s="166"/>
      <c r="II65" s="166"/>
      <c r="IJ65" s="166"/>
      <c r="IK65" s="166"/>
      <c r="IL65" s="166"/>
      <c r="IM65" s="166"/>
      <c r="IN65" s="166"/>
      <c r="IO65" s="166"/>
      <c r="IP65" s="166"/>
      <c r="IQ65" s="166"/>
      <c r="IR65" s="166"/>
      <c r="IS65" s="166"/>
      <c r="IT65" s="166"/>
      <c r="IU65" s="166"/>
      <c r="IV65" s="166"/>
    </row>
    <row r="66" spans="1:256" s="166" customFormat="1" x14ac:dyDescent="0.25">
      <c r="A66" s="325">
        <f>IF(Info!$J$3&gt;0,Info!$J$3+B66, )</f>
        <v>0</v>
      </c>
      <c r="B66" s="215">
        <v>57</v>
      </c>
      <c r="C66" s="299"/>
      <c r="D66" s="211"/>
      <c r="E66" s="294"/>
      <c r="F66" s="294"/>
      <c r="G66" s="211"/>
      <c r="H66" s="211"/>
      <c r="I66" s="211"/>
      <c r="J66" s="204"/>
      <c r="K66" s="38"/>
    </row>
    <row r="67" spans="1:256" s="166" customFormat="1" x14ac:dyDescent="0.25">
      <c r="A67" s="325">
        <f>IF(Info!$J$3&gt;0,Info!$J$3+B67, )</f>
        <v>0</v>
      </c>
      <c r="B67" s="215">
        <v>58</v>
      </c>
      <c r="C67" s="299"/>
      <c r="D67" s="211"/>
      <c r="E67" s="294"/>
      <c r="F67" s="294"/>
      <c r="G67" s="211"/>
      <c r="H67" s="211"/>
      <c r="I67" s="211"/>
      <c r="J67" s="205"/>
      <c r="K67" s="38"/>
    </row>
    <row r="68" spans="1:256" s="166" customFormat="1" x14ac:dyDescent="0.25">
      <c r="A68" s="325">
        <f>IF(Info!$J$3&gt;0,Info!$J$3+B68, )</f>
        <v>0</v>
      </c>
      <c r="B68" s="215">
        <v>59</v>
      </c>
      <c r="C68" s="299"/>
      <c r="D68" s="211"/>
      <c r="E68" s="294"/>
      <c r="F68" s="294"/>
      <c r="G68" s="211"/>
      <c r="H68" s="211"/>
      <c r="I68" s="211"/>
      <c r="J68" s="205"/>
      <c r="K68" s="38"/>
    </row>
    <row r="69" spans="1:256" s="166" customFormat="1" x14ac:dyDescent="0.25">
      <c r="A69" s="325">
        <f>IF(Info!$J$3&gt;0,Info!$J$3+B69, )</f>
        <v>0</v>
      </c>
      <c r="B69" s="215">
        <v>60</v>
      </c>
      <c r="C69" s="300"/>
      <c r="D69" s="211"/>
      <c r="E69" s="294"/>
      <c r="F69" s="294"/>
      <c r="G69" s="211"/>
      <c r="H69" s="211"/>
      <c r="I69" s="211"/>
      <c r="J69" s="205"/>
      <c r="K69" s="38"/>
    </row>
    <row r="70" spans="1:256" s="166" customFormat="1" x14ac:dyDescent="0.25">
      <c r="A70" s="325">
        <f>IF(Info!$J$3&gt;0,Info!$J$3+B70, )</f>
        <v>0</v>
      </c>
      <c r="B70" s="215">
        <v>61</v>
      </c>
      <c r="C70" s="299"/>
      <c r="D70" s="211"/>
      <c r="E70" s="294"/>
      <c r="F70" s="294"/>
      <c r="G70" s="211"/>
      <c r="H70" s="211"/>
      <c r="I70" s="211"/>
      <c r="J70" s="205"/>
      <c r="K70" s="38"/>
    </row>
    <row r="71" spans="1:256" s="166" customFormat="1" x14ac:dyDescent="0.25">
      <c r="A71" s="325">
        <f>IF(Info!$J$3&gt;0,Info!$J$3+B71, )</f>
        <v>0</v>
      </c>
      <c r="B71" s="215">
        <v>62</v>
      </c>
      <c r="C71" s="299"/>
      <c r="D71" s="211"/>
      <c r="E71" s="294"/>
      <c r="F71" s="294"/>
      <c r="G71" s="211"/>
      <c r="H71" s="211"/>
      <c r="I71" s="211"/>
      <c r="J71" s="205"/>
      <c r="K71" s="38"/>
    </row>
    <row r="72" spans="1:256" s="166" customFormat="1" x14ac:dyDescent="0.25">
      <c r="A72" s="325">
        <f>IF(Info!$J$3&gt;0,Info!$J$3+B72, )</f>
        <v>0</v>
      </c>
      <c r="B72" s="215">
        <v>63</v>
      </c>
      <c r="C72" s="300"/>
      <c r="D72" s="211"/>
      <c r="E72" s="294"/>
      <c r="F72" s="294"/>
      <c r="G72" s="211"/>
      <c r="H72" s="211"/>
      <c r="I72" s="211"/>
      <c r="J72" s="206"/>
      <c r="K72" s="38"/>
    </row>
    <row r="73" spans="1:256" s="201" customFormat="1" ht="13.5" customHeight="1" x14ac:dyDescent="0.25">
      <c r="A73" s="326">
        <f>A72</f>
        <v>0</v>
      </c>
      <c r="B73" s="207" t="str">
        <f>Traducción!$B$24&amp;" 9"</f>
        <v>Sem. 9</v>
      </c>
      <c r="C73" s="301">
        <f>SUM(C66:C72)</f>
        <v>0</v>
      </c>
      <c r="D73" s="288">
        <f t="shared" ref="D73" si="18">IFERROR(AVERAGE(D66:D72), )</f>
        <v>0</v>
      </c>
      <c r="E73" s="296">
        <f t="shared" ref="E73:F73" si="19">SUM(E66:E72)</f>
        <v>0</v>
      </c>
      <c r="F73" s="296">
        <f t="shared" si="19"/>
        <v>0</v>
      </c>
      <c r="G73" s="288">
        <f t="shared" ref="G73:I73" si="20">IFERROR(AVERAGE(G66:G72), )</f>
        <v>0</v>
      </c>
      <c r="H73" s="210">
        <f t="shared" si="20"/>
        <v>0</v>
      </c>
      <c r="I73" s="210">
        <f t="shared" si="20"/>
        <v>0</v>
      </c>
      <c r="J73" s="202"/>
      <c r="K73" s="38"/>
      <c r="L73" s="166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6"/>
      <c r="AG73" s="166"/>
      <c r="AH73" s="166"/>
      <c r="AI73" s="166"/>
      <c r="AJ73" s="166"/>
      <c r="AK73" s="166"/>
      <c r="AL73" s="166"/>
      <c r="AM73" s="166"/>
      <c r="AN73" s="166"/>
      <c r="AO73" s="166"/>
      <c r="AP73" s="166"/>
      <c r="AQ73" s="166"/>
      <c r="AR73" s="166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  <c r="BK73" s="166"/>
      <c r="BL73" s="166"/>
      <c r="BM73" s="166"/>
      <c r="BN73" s="166"/>
      <c r="BO73" s="166"/>
      <c r="BP73" s="166"/>
      <c r="BQ73" s="166"/>
      <c r="BR73" s="166"/>
      <c r="BS73" s="166"/>
      <c r="BT73" s="166"/>
      <c r="BU73" s="166"/>
      <c r="BV73" s="166"/>
      <c r="BW73" s="166"/>
      <c r="BX73" s="166"/>
      <c r="BY73" s="166"/>
      <c r="BZ73" s="166"/>
      <c r="CA73" s="166"/>
      <c r="CB73" s="166"/>
      <c r="CC73" s="166"/>
      <c r="CD73" s="166"/>
      <c r="CE73" s="166"/>
      <c r="CF73" s="166"/>
      <c r="CG73" s="166"/>
      <c r="CH73" s="166"/>
      <c r="CI73" s="166"/>
      <c r="CJ73" s="166"/>
      <c r="CK73" s="166"/>
      <c r="CL73" s="166"/>
      <c r="CM73" s="166"/>
      <c r="CN73" s="166"/>
      <c r="CO73" s="166"/>
      <c r="CP73" s="166"/>
      <c r="CQ73" s="166"/>
      <c r="CR73" s="166"/>
      <c r="CS73" s="166"/>
      <c r="CT73" s="166"/>
      <c r="CU73" s="166"/>
      <c r="CV73" s="166"/>
      <c r="CW73" s="166"/>
      <c r="CX73" s="166"/>
      <c r="CY73" s="166"/>
      <c r="CZ73" s="166"/>
      <c r="DA73" s="166"/>
      <c r="DB73" s="166"/>
      <c r="DC73" s="166"/>
      <c r="DD73" s="166"/>
      <c r="DE73" s="166"/>
      <c r="DF73" s="166"/>
      <c r="DG73" s="166"/>
      <c r="DH73" s="166"/>
      <c r="DI73" s="166"/>
      <c r="DJ73" s="166"/>
      <c r="DK73" s="166"/>
      <c r="DL73" s="166"/>
      <c r="DM73" s="166"/>
      <c r="DN73" s="166"/>
      <c r="DO73" s="166"/>
      <c r="DP73" s="166"/>
      <c r="DQ73" s="166"/>
      <c r="DR73" s="166"/>
      <c r="DS73" s="166"/>
      <c r="DT73" s="166"/>
      <c r="DU73" s="166"/>
      <c r="DV73" s="166"/>
      <c r="DW73" s="166"/>
      <c r="DX73" s="166"/>
      <c r="DY73" s="166"/>
      <c r="DZ73" s="166"/>
      <c r="EA73" s="166"/>
      <c r="EB73" s="166"/>
      <c r="EC73" s="166"/>
      <c r="ED73" s="166"/>
      <c r="EE73" s="166"/>
      <c r="EF73" s="166"/>
      <c r="EG73" s="166"/>
      <c r="EH73" s="166"/>
      <c r="EI73" s="166"/>
      <c r="EJ73" s="166"/>
      <c r="EK73" s="166"/>
      <c r="EL73" s="166"/>
      <c r="EM73" s="166"/>
      <c r="EN73" s="166"/>
      <c r="EO73" s="166"/>
      <c r="EP73" s="166"/>
      <c r="EQ73" s="166"/>
      <c r="ER73" s="166"/>
      <c r="ES73" s="166"/>
      <c r="ET73" s="166"/>
      <c r="EU73" s="166"/>
      <c r="EV73" s="166"/>
      <c r="EW73" s="166"/>
      <c r="EX73" s="166"/>
      <c r="EY73" s="166"/>
      <c r="EZ73" s="166"/>
      <c r="FA73" s="166"/>
      <c r="FB73" s="166"/>
      <c r="FC73" s="166"/>
      <c r="FD73" s="166"/>
      <c r="FE73" s="166"/>
      <c r="FF73" s="166"/>
      <c r="FG73" s="166"/>
      <c r="FH73" s="166"/>
      <c r="FI73" s="166"/>
      <c r="FJ73" s="166"/>
      <c r="FK73" s="166"/>
      <c r="FL73" s="166"/>
      <c r="FM73" s="166"/>
      <c r="FN73" s="166"/>
      <c r="FO73" s="166"/>
      <c r="FP73" s="166"/>
      <c r="FQ73" s="166"/>
      <c r="FR73" s="166"/>
      <c r="FS73" s="166"/>
      <c r="FT73" s="166"/>
      <c r="FU73" s="166"/>
      <c r="FV73" s="166"/>
      <c r="FW73" s="166"/>
      <c r="FX73" s="166"/>
      <c r="FY73" s="166"/>
      <c r="FZ73" s="166"/>
      <c r="GA73" s="166"/>
      <c r="GB73" s="166"/>
      <c r="GC73" s="166"/>
      <c r="GD73" s="166"/>
      <c r="GE73" s="166"/>
      <c r="GF73" s="166"/>
      <c r="GG73" s="166"/>
      <c r="GH73" s="166"/>
      <c r="GI73" s="166"/>
      <c r="GJ73" s="166"/>
      <c r="GK73" s="166"/>
      <c r="GL73" s="166"/>
      <c r="GM73" s="166"/>
      <c r="GN73" s="166"/>
      <c r="GO73" s="166"/>
      <c r="GP73" s="166"/>
      <c r="GQ73" s="166"/>
      <c r="GR73" s="166"/>
      <c r="GS73" s="166"/>
      <c r="GT73" s="166"/>
      <c r="GU73" s="166"/>
      <c r="GV73" s="166"/>
      <c r="GW73" s="166"/>
      <c r="GX73" s="166"/>
      <c r="GY73" s="166"/>
      <c r="GZ73" s="166"/>
      <c r="HA73" s="166"/>
      <c r="HB73" s="166"/>
      <c r="HC73" s="166"/>
      <c r="HD73" s="166"/>
      <c r="HE73" s="166"/>
      <c r="HF73" s="166"/>
      <c r="HG73" s="166"/>
      <c r="HH73" s="166"/>
      <c r="HI73" s="166"/>
      <c r="HJ73" s="166"/>
      <c r="HK73" s="166"/>
      <c r="HL73" s="166"/>
      <c r="HM73" s="166"/>
      <c r="HN73" s="166"/>
      <c r="HO73" s="166"/>
      <c r="HP73" s="166"/>
      <c r="HQ73" s="166"/>
      <c r="HR73" s="166"/>
      <c r="HS73" s="166"/>
      <c r="HT73" s="166"/>
      <c r="HU73" s="166"/>
      <c r="HV73" s="166"/>
      <c r="HW73" s="166"/>
      <c r="HX73" s="166"/>
      <c r="HY73" s="166"/>
      <c r="HZ73" s="166"/>
      <c r="IA73" s="166"/>
      <c r="IB73" s="166"/>
      <c r="IC73" s="166"/>
      <c r="ID73" s="166"/>
      <c r="IE73" s="166"/>
      <c r="IF73" s="166"/>
      <c r="IG73" s="166"/>
      <c r="IH73" s="166"/>
      <c r="II73" s="166"/>
      <c r="IJ73" s="166"/>
      <c r="IK73" s="166"/>
      <c r="IL73" s="166"/>
      <c r="IM73" s="166"/>
      <c r="IN73" s="166"/>
      <c r="IO73" s="166"/>
      <c r="IP73" s="166"/>
      <c r="IQ73" s="166"/>
      <c r="IR73" s="166"/>
      <c r="IS73" s="166"/>
      <c r="IT73" s="166"/>
      <c r="IU73" s="166"/>
      <c r="IV73" s="166"/>
    </row>
    <row r="74" spans="1:256" x14ac:dyDescent="0.25">
      <c r="A74" s="325">
        <f>IF(Info!$J$3&gt;0,Info!$J$3+B74, )</f>
        <v>0</v>
      </c>
      <c r="B74" s="215">
        <v>64</v>
      </c>
      <c r="C74" s="299"/>
      <c r="D74" s="211"/>
      <c r="E74" s="294"/>
      <c r="F74" s="294"/>
      <c r="G74" s="211"/>
      <c r="H74" s="211"/>
      <c r="I74" s="211"/>
      <c r="J74" s="204"/>
      <c r="K74" s="38"/>
      <c r="L74" s="166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66"/>
      <c r="AK74" s="166"/>
      <c r="AL74" s="166"/>
      <c r="AM74" s="166"/>
      <c r="AN74" s="166"/>
      <c r="AO74" s="166"/>
      <c r="AP74" s="166"/>
      <c r="AQ74" s="166"/>
      <c r="AR74" s="166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  <c r="BK74" s="166"/>
      <c r="BL74" s="166"/>
      <c r="BM74" s="166"/>
      <c r="BN74" s="166"/>
      <c r="BO74" s="166"/>
      <c r="BP74" s="166"/>
      <c r="BQ74" s="166"/>
      <c r="BR74" s="166"/>
      <c r="BS74" s="166"/>
      <c r="BT74" s="166"/>
      <c r="BU74" s="166"/>
      <c r="BV74" s="166"/>
      <c r="BW74" s="166"/>
      <c r="BX74" s="166"/>
      <c r="BY74" s="166"/>
      <c r="BZ74" s="166"/>
      <c r="CA74" s="166"/>
      <c r="CB74" s="166"/>
      <c r="CC74" s="166"/>
      <c r="CD74" s="166"/>
      <c r="CE74" s="166"/>
      <c r="CF74" s="166"/>
      <c r="CG74" s="166"/>
      <c r="CH74" s="166"/>
      <c r="CI74" s="166"/>
      <c r="CJ74" s="166"/>
      <c r="CK74" s="166"/>
      <c r="CL74" s="166"/>
      <c r="CM74" s="166"/>
      <c r="CN74" s="166"/>
      <c r="CO74" s="166"/>
      <c r="CP74" s="166"/>
      <c r="CQ74" s="166"/>
      <c r="CR74" s="166"/>
      <c r="CS74" s="166"/>
      <c r="CT74" s="166"/>
      <c r="CU74" s="166"/>
      <c r="CV74" s="166"/>
      <c r="CW74" s="166"/>
      <c r="CX74" s="166"/>
      <c r="CY74" s="166"/>
      <c r="CZ74" s="166"/>
      <c r="DA74" s="166"/>
      <c r="DB74" s="166"/>
      <c r="DC74" s="166"/>
      <c r="DD74" s="166"/>
      <c r="DE74" s="166"/>
      <c r="DF74" s="166"/>
      <c r="DG74" s="166"/>
      <c r="DH74" s="166"/>
      <c r="DI74" s="166"/>
      <c r="DJ74" s="166"/>
      <c r="DK74" s="166"/>
      <c r="DL74" s="166"/>
      <c r="DM74" s="166"/>
      <c r="DN74" s="166"/>
      <c r="DO74" s="166"/>
      <c r="DP74" s="166"/>
      <c r="DQ74" s="166"/>
      <c r="DR74" s="166"/>
      <c r="DS74" s="166"/>
      <c r="DT74" s="166"/>
      <c r="DU74" s="166"/>
      <c r="DV74" s="166"/>
      <c r="DW74" s="166"/>
      <c r="DX74" s="166"/>
      <c r="DY74" s="166"/>
      <c r="DZ74" s="166"/>
      <c r="EA74" s="166"/>
      <c r="EB74" s="166"/>
      <c r="EC74" s="166"/>
      <c r="ED74" s="166"/>
      <c r="EE74" s="166"/>
      <c r="EF74" s="166"/>
      <c r="EG74" s="166"/>
      <c r="EH74" s="166"/>
      <c r="EI74" s="166"/>
      <c r="EJ74" s="166"/>
      <c r="EK74" s="166"/>
      <c r="EL74" s="166"/>
      <c r="EM74" s="166"/>
      <c r="EN74" s="166"/>
      <c r="EO74" s="166"/>
      <c r="EP74" s="166"/>
      <c r="EQ74" s="166"/>
      <c r="ER74" s="166"/>
      <c r="ES74" s="166"/>
      <c r="ET74" s="166"/>
      <c r="EU74" s="166"/>
      <c r="EV74" s="166"/>
      <c r="EW74" s="166"/>
      <c r="EX74" s="166"/>
      <c r="EY74" s="166"/>
      <c r="EZ74" s="166"/>
      <c r="FA74" s="166"/>
      <c r="FB74" s="166"/>
      <c r="FC74" s="166"/>
      <c r="FD74" s="166"/>
      <c r="FE74" s="166"/>
      <c r="FF74" s="166"/>
      <c r="FG74" s="166"/>
      <c r="FH74" s="166"/>
      <c r="FI74" s="166"/>
      <c r="FJ74" s="166"/>
      <c r="FK74" s="166"/>
      <c r="FL74" s="166"/>
      <c r="FM74" s="166"/>
      <c r="FN74" s="166"/>
      <c r="FO74" s="166"/>
      <c r="FP74" s="166"/>
      <c r="FQ74" s="166"/>
      <c r="FR74" s="166"/>
      <c r="FS74" s="166"/>
      <c r="FT74" s="166"/>
      <c r="FU74" s="166"/>
      <c r="FV74" s="166"/>
      <c r="FW74" s="166"/>
      <c r="FX74" s="166"/>
      <c r="FY74" s="166"/>
      <c r="FZ74" s="166"/>
      <c r="GA74" s="166"/>
      <c r="GB74" s="166"/>
      <c r="GC74" s="166"/>
      <c r="GD74" s="166"/>
      <c r="GE74" s="166"/>
      <c r="GF74" s="166"/>
      <c r="GG74" s="166"/>
      <c r="GH74" s="166"/>
      <c r="GI74" s="166"/>
      <c r="GJ74" s="166"/>
      <c r="GK74" s="166"/>
      <c r="GL74" s="166"/>
      <c r="GM74" s="166"/>
      <c r="GN74" s="166"/>
      <c r="GO74" s="166"/>
      <c r="GP74" s="166"/>
      <c r="GQ74" s="166"/>
      <c r="GR74" s="166"/>
      <c r="GS74" s="166"/>
      <c r="GT74" s="166"/>
      <c r="GU74" s="166"/>
      <c r="GV74" s="166"/>
      <c r="GW74" s="166"/>
      <c r="GX74" s="166"/>
      <c r="GY74" s="166"/>
      <c r="GZ74" s="166"/>
      <c r="HA74" s="166"/>
      <c r="HB74" s="166"/>
      <c r="HC74" s="166"/>
      <c r="HD74" s="166"/>
      <c r="HE74" s="166"/>
      <c r="HF74" s="166"/>
      <c r="HG74" s="166"/>
      <c r="HH74" s="166"/>
      <c r="HI74" s="166"/>
      <c r="HJ74" s="166"/>
      <c r="HK74" s="166"/>
      <c r="HL74" s="166"/>
      <c r="HM74" s="166"/>
      <c r="HN74" s="166"/>
      <c r="HO74" s="166"/>
      <c r="HP74" s="166"/>
      <c r="HQ74" s="166"/>
      <c r="HR74" s="166"/>
      <c r="HS74" s="166"/>
      <c r="HT74" s="166"/>
      <c r="HU74" s="166"/>
      <c r="HV74" s="166"/>
      <c r="HW74" s="166"/>
      <c r="HX74" s="166"/>
      <c r="HY74" s="166"/>
      <c r="HZ74" s="166"/>
      <c r="IA74" s="166"/>
      <c r="IB74" s="166"/>
      <c r="IC74" s="166"/>
      <c r="ID74" s="166"/>
      <c r="IE74" s="166"/>
      <c r="IF74" s="166"/>
      <c r="IG74" s="166"/>
      <c r="IH74" s="166"/>
      <c r="II74" s="166"/>
      <c r="IJ74" s="166"/>
      <c r="IK74" s="166"/>
      <c r="IL74" s="166"/>
      <c r="IM74" s="166"/>
      <c r="IN74" s="166"/>
      <c r="IO74" s="166"/>
      <c r="IP74" s="166"/>
      <c r="IQ74" s="166"/>
      <c r="IR74" s="166"/>
      <c r="IS74" s="166"/>
      <c r="IT74" s="166"/>
      <c r="IU74" s="166"/>
      <c r="IV74" s="166"/>
    </row>
    <row r="75" spans="1:256" x14ac:dyDescent="0.25">
      <c r="A75" s="325">
        <f>IF(Info!$J$3&gt;0,Info!$J$3+B75, )</f>
        <v>0</v>
      </c>
      <c r="B75" s="215">
        <v>65</v>
      </c>
      <c r="C75" s="299"/>
      <c r="D75" s="211"/>
      <c r="E75" s="294"/>
      <c r="F75" s="294"/>
      <c r="G75" s="211"/>
      <c r="H75" s="211"/>
      <c r="I75" s="211"/>
      <c r="J75" s="205"/>
      <c r="K75" s="38"/>
      <c r="L75" s="166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66"/>
      <c r="AK75" s="166"/>
      <c r="AL75" s="166"/>
      <c r="AM75" s="166"/>
      <c r="AN75" s="166"/>
      <c r="AO75" s="166"/>
      <c r="AP75" s="166"/>
      <c r="AQ75" s="166"/>
      <c r="AR75" s="166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  <c r="BK75" s="166"/>
      <c r="BL75" s="166"/>
      <c r="BM75" s="166"/>
      <c r="BN75" s="166"/>
      <c r="BO75" s="166"/>
      <c r="BP75" s="166"/>
      <c r="BQ75" s="166"/>
      <c r="BR75" s="166"/>
      <c r="BS75" s="166"/>
      <c r="BT75" s="166"/>
      <c r="BU75" s="166"/>
      <c r="BV75" s="166"/>
      <c r="BW75" s="166"/>
      <c r="BX75" s="166"/>
      <c r="BY75" s="166"/>
      <c r="BZ75" s="166"/>
      <c r="CA75" s="166"/>
      <c r="CB75" s="166"/>
      <c r="CC75" s="166"/>
      <c r="CD75" s="166"/>
      <c r="CE75" s="166"/>
      <c r="CF75" s="166"/>
      <c r="CG75" s="166"/>
      <c r="CH75" s="166"/>
      <c r="CI75" s="166"/>
      <c r="CJ75" s="166"/>
      <c r="CK75" s="166"/>
      <c r="CL75" s="166"/>
      <c r="CM75" s="166"/>
      <c r="CN75" s="166"/>
      <c r="CO75" s="166"/>
      <c r="CP75" s="166"/>
      <c r="CQ75" s="166"/>
      <c r="CR75" s="166"/>
      <c r="CS75" s="166"/>
      <c r="CT75" s="166"/>
      <c r="CU75" s="166"/>
      <c r="CV75" s="166"/>
      <c r="CW75" s="166"/>
      <c r="CX75" s="166"/>
      <c r="CY75" s="166"/>
      <c r="CZ75" s="166"/>
      <c r="DA75" s="166"/>
      <c r="DB75" s="166"/>
      <c r="DC75" s="166"/>
      <c r="DD75" s="166"/>
      <c r="DE75" s="166"/>
      <c r="DF75" s="166"/>
      <c r="DG75" s="166"/>
      <c r="DH75" s="166"/>
      <c r="DI75" s="166"/>
      <c r="DJ75" s="166"/>
      <c r="DK75" s="166"/>
      <c r="DL75" s="166"/>
      <c r="DM75" s="166"/>
      <c r="DN75" s="166"/>
      <c r="DO75" s="166"/>
      <c r="DP75" s="166"/>
      <c r="DQ75" s="166"/>
      <c r="DR75" s="166"/>
      <c r="DS75" s="166"/>
      <c r="DT75" s="166"/>
      <c r="DU75" s="166"/>
      <c r="DV75" s="166"/>
      <c r="DW75" s="166"/>
      <c r="DX75" s="166"/>
      <c r="DY75" s="166"/>
      <c r="DZ75" s="166"/>
      <c r="EA75" s="166"/>
      <c r="EB75" s="166"/>
      <c r="EC75" s="166"/>
      <c r="ED75" s="166"/>
      <c r="EE75" s="166"/>
      <c r="EF75" s="166"/>
      <c r="EG75" s="166"/>
      <c r="EH75" s="166"/>
      <c r="EI75" s="166"/>
      <c r="EJ75" s="166"/>
      <c r="EK75" s="166"/>
      <c r="EL75" s="166"/>
      <c r="EM75" s="166"/>
      <c r="EN75" s="166"/>
      <c r="EO75" s="166"/>
      <c r="EP75" s="166"/>
      <c r="EQ75" s="166"/>
      <c r="ER75" s="166"/>
      <c r="ES75" s="166"/>
      <c r="ET75" s="166"/>
      <c r="EU75" s="166"/>
      <c r="EV75" s="166"/>
      <c r="EW75" s="166"/>
      <c r="EX75" s="166"/>
      <c r="EY75" s="166"/>
      <c r="EZ75" s="166"/>
      <c r="FA75" s="166"/>
      <c r="FB75" s="166"/>
      <c r="FC75" s="166"/>
      <c r="FD75" s="166"/>
      <c r="FE75" s="166"/>
      <c r="FF75" s="166"/>
      <c r="FG75" s="166"/>
      <c r="FH75" s="166"/>
      <c r="FI75" s="166"/>
      <c r="FJ75" s="166"/>
      <c r="FK75" s="166"/>
      <c r="FL75" s="166"/>
      <c r="FM75" s="166"/>
      <c r="FN75" s="166"/>
      <c r="FO75" s="166"/>
      <c r="FP75" s="166"/>
      <c r="FQ75" s="166"/>
      <c r="FR75" s="166"/>
      <c r="FS75" s="166"/>
      <c r="FT75" s="166"/>
      <c r="FU75" s="166"/>
      <c r="FV75" s="166"/>
      <c r="FW75" s="166"/>
      <c r="FX75" s="166"/>
      <c r="FY75" s="166"/>
      <c r="FZ75" s="166"/>
      <c r="GA75" s="166"/>
      <c r="GB75" s="166"/>
      <c r="GC75" s="166"/>
      <c r="GD75" s="166"/>
      <c r="GE75" s="166"/>
      <c r="GF75" s="166"/>
      <c r="GG75" s="166"/>
      <c r="GH75" s="166"/>
      <c r="GI75" s="166"/>
      <c r="GJ75" s="166"/>
      <c r="GK75" s="166"/>
      <c r="GL75" s="166"/>
      <c r="GM75" s="166"/>
      <c r="GN75" s="166"/>
      <c r="GO75" s="166"/>
      <c r="GP75" s="166"/>
      <c r="GQ75" s="166"/>
      <c r="GR75" s="166"/>
      <c r="GS75" s="166"/>
      <c r="GT75" s="166"/>
      <c r="GU75" s="166"/>
      <c r="GV75" s="166"/>
      <c r="GW75" s="166"/>
      <c r="GX75" s="166"/>
      <c r="GY75" s="166"/>
      <c r="GZ75" s="166"/>
      <c r="HA75" s="166"/>
      <c r="HB75" s="166"/>
      <c r="HC75" s="166"/>
      <c r="HD75" s="166"/>
      <c r="HE75" s="166"/>
      <c r="HF75" s="166"/>
      <c r="HG75" s="166"/>
      <c r="HH75" s="166"/>
      <c r="HI75" s="166"/>
      <c r="HJ75" s="166"/>
      <c r="HK75" s="166"/>
      <c r="HL75" s="166"/>
      <c r="HM75" s="166"/>
      <c r="HN75" s="166"/>
      <c r="HO75" s="166"/>
      <c r="HP75" s="166"/>
      <c r="HQ75" s="166"/>
      <c r="HR75" s="166"/>
      <c r="HS75" s="166"/>
      <c r="HT75" s="166"/>
      <c r="HU75" s="166"/>
      <c r="HV75" s="166"/>
      <c r="HW75" s="166"/>
      <c r="HX75" s="166"/>
      <c r="HY75" s="166"/>
      <c r="HZ75" s="166"/>
      <c r="IA75" s="166"/>
      <c r="IB75" s="166"/>
      <c r="IC75" s="166"/>
      <c r="ID75" s="166"/>
      <c r="IE75" s="166"/>
      <c r="IF75" s="166"/>
      <c r="IG75" s="166"/>
      <c r="IH75" s="166"/>
      <c r="II75" s="166"/>
      <c r="IJ75" s="166"/>
      <c r="IK75" s="166"/>
      <c r="IL75" s="166"/>
      <c r="IM75" s="166"/>
      <c r="IN75" s="166"/>
      <c r="IO75" s="166"/>
      <c r="IP75" s="166"/>
      <c r="IQ75" s="166"/>
      <c r="IR75" s="166"/>
      <c r="IS75" s="166"/>
      <c r="IT75" s="166"/>
      <c r="IU75" s="166"/>
      <c r="IV75" s="166"/>
    </row>
    <row r="76" spans="1:256" x14ac:dyDescent="0.25">
      <c r="A76" s="325">
        <f>IF(Info!$J$3&gt;0,Info!$J$3+B76, )</f>
        <v>0</v>
      </c>
      <c r="B76" s="215">
        <v>66</v>
      </c>
      <c r="C76" s="300"/>
      <c r="D76" s="211"/>
      <c r="E76" s="294"/>
      <c r="F76" s="294"/>
      <c r="G76" s="211"/>
      <c r="H76" s="211"/>
      <c r="I76" s="211"/>
      <c r="J76" s="205"/>
      <c r="K76" s="38"/>
      <c r="L76" s="166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  <c r="AG76" s="166"/>
      <c r="AH76" s="166"/>
      <c r="AI76" s="166"/>
      <c r="AJ76" s="166"/>
      <c r="AK76" s="166"/>
      <c r="AL76" s="166"/>
      <c r="AM76" s="166"/>
      <c r="AN76" s="166"/>
      <c r="AO76" s="166"/>
      <c r="AP76" s="166"/>
      <c r="AQ76" s="166"/>
      <c r="AR76" s="166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  <c r="BK76" s="166"/>
      <c r="BL76" s="166"/>
      <c r="BM76" s="166"/>
      <c r="BN76" s="166"/>
      <c r="BO76" s="166"/>
      <c r="BP76" s="166"/>
      <c r="BQ76" s="166"/>
      <c r="BR76" s="166"/>
      <c r="BS76" s="166"/>
      <c r="BT76" s="166"/>
      <c r="BU76" s="166"/>
      <c r="BV76" s="166"/>
      <c r="BW76" s="166"/>
      <c r="BX76" s="166"/>
      <c r="BY76" s="166"/>
      <c r="BZ76" s="166"/>
      <c r="CA76" s="166"/>
      <c r="CB76" s="166"/>
      <c r="CC76" s="166"/>
      <c r="CD76" s="166"/>
      <c r="CE76" s="166"/>
      <c r="CF76" s="166"/>
      <c r="CG76" s="166"/>
      <c r="CH76" s="166"/>
      <c r="CI76" s="166"/>
      <c r="CJ76" s="166"/>
      <c r="CK76" s="166"/>
      <c r="CL76" s="166"/>
      <c r="CM76" s="166"/>
      <c r="CN76" s="166"/>
      <c r="CO76" s="166"/>
      <c r="CP76" s="166"/>
      <c r="CQ76" s="166"/>
      <c r="CR76" s="166"/>
      <c r="CS76" s="166"/>
      <c r="CT76" s="166"/>
      <c r="CU76" s="166"/>
      <c r="CV76" s="166"/>
      <c r="CW76" s="166"/>
      <c r="CX76" s="166"/>
      <c r="CY76" s="166"/>
      <c r="CZ76" s="166"/>
      <c r="DA76" s="166"/>
      <c r="DB76" s="166"/>
      <c r="DC76" s="166"/>
      <c r="DD76" s="166"/>
      <c r="DE76" s="166"/>
      <c r="DF76" s="166"/>
      <c r="DG76" s="166"/>
      <c r="DH76" s="166"/>
      <c r="DI76" s="166"/>
      <c r="DJ76" s="166"/>
      <c r="DK76" s="166"/>
      <c r="DL76" s="166"/>
      <c r="DM76" s="166"/>
      <c r="DN76" s="166"/>
      <c r="DO76" s="166"/>
      <c r="DP76" s="166"/>
      <c r="DQ76" s="166"/>
      <c r="DR76" s="166"/>
      <c r="DS76" s="166"/>
      <c r="DT76" s="166"/>
      <c r="DU76" s="166"/>
      <c r="DV76" s="166"/>
      <c r="DW76" s="166"/>
      <c r="DX76" s="166"/>
      <c r="DY76" s="166"/>
      <c r="DZ76" s="166"/>
      <c r="EA76" s="166"/>
      <c r="EB76" s="166"/>
      <c r="EC76" s="166"/>
      <c r="ED76" s="166"/>
      <c r="EE76" s="166"/>
      <c r="EF76" s="166"/>
      <c r="EG76" s="166"/>
      <c r="EH76" s="166"/>
      <c r="EI76" s="166"/>
      <c r="EJ76" s="166"/>
      <c r="EK76" s="166"/>
      <c r="EL76" s="166"/>
      <c r="EM76" s="166"/>
      <c r="EN76" s="166"/>
      <c r="EO76" s="166"/>
      <c r="EP76" s="166"/>
      <c r="EQ76" s="166"/>
      <c r="ER76" s="166"/>
      <c r="ES76" s="166"/>
      <c r="ET76" s="166"/>
      <c r="EU76" s="166"/>
      <c r="EV76" s="166"/>
      <c r="EW76" s="166"/>
      <c r="EX76" s="166"/>
      <c r="EY76" s="166"/>
      <c r="EZ76" s="166"/>
      <c r="FA76" s="166"/>
      <c r="FB76" s="166"/>
      <c r="FC76" s="166"/>
      <c r="FD76" s="166"/>
      <c r="FE76" s="166"/>
      <c r="FF76" s="166"/>
      <c r="FG76" s="166"/>
      <c r="FH76" s="166"/>
      <c r="FI76" s="166"/>
      <c r="FJ76" s="166"/>
      <c r="FK76" s="166"/>
      <c r="FL76" s="166"/>
      <c r="FM76" s="166"/>
      <c r="FN76" s="166"/>
      <c r="FO76" s="166"/>
      <c r="FP76" s="166"/>
      <c r="FQ76" s="166"/>
      <c r="FR76" s="166"/>
      <c r="FS76" s="166"/>
      <c r="FT76" s="166"/>
      <c r="FU76" s="166"/>
      <c r="FV76" s="166"/>
      <c r="FW76" s="166"/>
      <c r="FX76" s="166"/>
      <c r="FY76" s="166"/>
      <c r="FZ76" s="166"/>
      <c r="GA76" s="166"/>
      <c r="GB76" s="166"/>
      <c r="GC76" s="166"/>
      <c r="GD76" s="166"/>
      <c r="GE76" s="166"/>
      <c r="GF76" s="166"/>
      <c r="GG76" s="166"/>
      <c r="GH76" s="166"/>
      <c r="GI76" s="166"/>
      <c r="GJ76" s="166"/>
      <c r="GK76" s="166"/>
      <c r="GL76" s="166"/>
      <c r="GM76" s="166"/>
      <c r="GN76" s="166"/>
      <c r="GO76" s="166"/>
      <c r="GP76" s="166"/>
      <c r="GQ76" s="166"/>
      <c r="GR76" s="166"/>
      <c r="GS76" s="166"/>
      <c r="GT76" s="166"/>
      <c r="GU76" s="166"/>
      <c r="GV76" s="166"/>
      <c r="GW76" s="166"/>
      <c r="GX76" s="166"/>
      <c r="GY76" s="166"/>
      <c r="GZ76" s="166"/>
      <c r="HA76" s="166"/>
      <c r="HB76" s="166"/>
      <c r="HC76" s="166"/>
      <c r="HD76" s="166"/>
      <c r="HE76" s="166"/>
      <c r="HF76" s="166"/>
      <c r="HG76" s="166"/>
      <c r="HH76" s="166"/>
      <c r="HI76" s="166"/>
      <c r="HJ76" s="166"/>
      <c r="HK76" s="166"/>
      <c r="HL76" s="166"/>
      <c r="HM76" s="166"/>
      <c r="HN76" s="166"/>
      <c r="HO76" s="166"/>
      <c r="HP76" s="166"/>
      <c r="HQ76" s="166"/>
      <c r="HR76" s="166"/>
      <c r="HS76" s="166"/>
      <c r="HT76" s="166"/>
      <c r="HU76" s="166"/>
      <c r="HV76" s="166"/>
      <c r="HW76" s="166"/>
      <c r="HX76" s="166"/>
      <c r="HY76" s="166"/>
      <c r="HZ76" s="166"/>
      <c r="IA76" s="166"/>
      <c r="IB76" s="166"/>
      <c r="IC76" s="166"/>
      <c r="ID76" s="166"/>
      <c r="IE76" s="166"/>
      <c r="IF76" s="166"/>
      <c r="IG76" s="166"/>
      <c r="IH76" s="166"/>
      <c r="II76" s="166"/>
      <c r="IJ76" s="166"/>
      <c r="IK76" s="166"/>
      <c r="IL76" s="166"/>
      <c r="IM76" s="166"/>
      <c r="IN76" s="166"/>
      <c r="IO76" s="166"/>
      <c r="IP76" s="166"/>
      <c r="IQ76" s="166"/>
      <c r="IR76" s="166"/>
      <c r="IS76" s="166"/>
      <c r="IT76" s="166"/>
      <c r="IU76" s="166"/>
      <c r="IV76" s="166"/>
    </row>
    <row r="77" spans="1:256" x14ac:dyDescent="0.25">
      <c r="A77" s="325">
        <f>IF(Info!$J$3&gt;0,Info!$J$3+B77, )</f>
        <v>0</v>
      </c>
      <c r="B77" s="215">
        <v>67</v>
      </c>
      <c r="C77" s="299"/>
      <c r="D77" s="211"/>
      <c r="E77" s="294"/>
      <c r="F77" s="294"/>
      <c r="G77" s="211"/>
      <c r="H77" s="211"/>
      <c r="I77" s="211"/>
      <c r="J77" s="205"/>
      <c r="K77" s="38"/>
      <c r="L77" s="166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  <c r="AG77" s="166"/>
      <c r="AH77" s="166"/>
      <c r="AI77" s="166"/>
      <c r="AJ77" s="166"/>
      <c r="AK77" s="166"/>
      <c r="AL77" s="166"/>
      <c r="AM77" s="166"/>
      <c r="AN77" s="166"/>
      <c r="AO77" s="166"/>
      <c r="AP77" s="166"/>
      <c r="AQ77" s="166"/>
      <c r="AR77" s="166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  <c r="BK77" s="166"/>
      <c r="BL77" s="166"/>
      <c r="BM77" s="166"/>
      <c r="BN77" s="166"/>
      <c r="BO77" s="166"/>
      <c r="BP77" s="166"/>
      <c r="BQ77" s="166"/>
      <c r="BR77" s="166"/>
      <c r="BS77" s="166"/>
      <c r="BT77" s="166"/>
      <c r="BU77" s="166"/>
      <c r="BV77" s="166"/>
      <c r="BW77" s="166"/>
      <c r="BX77" s="166"/>
      <c r="BY77" s="166"/>
      <c r="BZ77" s="166"/>
      <c r="CA77" s="166"/>
      <c r="CB77" s="166"/>
      <c r="CC77" s="166"/>
      <c r="CD77" s="166"/>
      <c r="CE77" s="166"/>
      <c r="CF77" s="166"/>
      <c r="CG77" s="166"/>
      <c r="CH77" s="166"/>
      <c r="CI77" s="166"/>
      <c r="CJ77" s="166"/>
      <c r="CK77" s="166"/>
      <c r="CL77" s="166"/>
      <c r="CM77" s="166"/>
      <c r="CN77" s="166"/>
      <c r="CO77" s="166"/>
      <c r="CP77" s="166"/>
      <c r="CQ77" s="166"/>
      <c r="CR77" s="166"/>
      <c r="CS77" s="166"/>
      <c r="CT77" s="166"/>
      <c r="CU77" s="166"/>
      <c r="CV77" s="166"/>
      <c r="CW77" s="166"/>
      <c r="CX77" s="166"/>
      <c r="CY77" s="166"/>
      <c r="CZ77" s="166"/>
      <c r="DA77" s="166"/>
      <c r="DB77" s="166"/>
      <c r="DC77" s="166"/>
      <c r="DD77" s="166"/>
      <c r="DE77" s="166"/>
      <c r="DF77" s="166"/>
      <c r="DG77" s="166"/>
      <c r="DH77" s="166"/>
      <c r="DI77" s="166"/>
      <c r="DJ77" s="166"/>
      <c r="DK77" s="166"/>
      <c r="DL77" s="166"/>
      <c r="DM77" s="166"/>
      <c r="DN77" s="166"/>
      <c r="DO77" s="166"/>
      <c r="DP77" s="166"/>
      <c r="DQ77" s="166"/>
      <c r="DR77" s="166"/>
      <c r="DS77" s="166"/>
      <c r="DT77" s="166"/>
      <c r="DU77" s="166"/>
      <c r="DV77" s="166"/>
      <c r="DW77" s="166"/>
      <c r="DX77" s="166"/>
      <c r="DY77" s="166"/>
      <c r="DZ77" s="166"/>
      <c r="EA77" s="166"/>
      <c r="EB77" s="166"/>
      <c r="EC77" s="166"/>
      <c r="ED77" s="166"/>
      <c r="EE77" s="166"/>
      <c r="EF77" s="166"/>
      <c r="EG77" s="166"/>
      <c r="EH77" s="166"/>
      <c r="EI77" s="166"/>
      <c r="EJ77" s="166"/>
      <c r="EK77" s="166"/>
      <c r="EL77" s="166"/>
      <c r="EM77" s="166"/>
      <c r="EN77" s="166"/>
      <c r="EO77" s="166"/>
      <c r="EP77" s="166"/>
      <c r="EQ77" s="166"/>
      <c r="ER77" s="166"/>
      <c r="ES77" s="166"/>
      <c r="ET77" s="166"/>
      <c r="EU77" s="166"/>
      <c r="EV77" s="166"/>
      <c r="EW77" s="166"/>
      <c r="EX77" s="166"/>
      <c r="EY77" s="166"/>
      <c r="EZ77" s="166"/>
      <c r="FA77" s="166"/>
      <c r="FB77" s="166"/>
      <c r="FC77" s="166"/>
      <c r="FD77" s="166"/>
      <c r="FE77" s="166"/>
      <c r="FF77" s="166"/>
      <c r="FG77" s="166"/>
      <c r="FH77" s="166"/>
      <c r="FI77" s="166"/>
      <c r="FJ77" s="166"/>
      <c r="FK77" s="166"/>
      <c r="FL77" s="166"/>
      <c r="FM77" s="166"/>
      <c r="FN77" s="166"/>
      <c r="FO77" s="166"/>
      <c r="FP77" s="166"/>
      <c r="FQ77" s="166"/>
      <c r="FR77" s="166"/>
      <c r="FS77" s="166"/>
      <c r="FT77" s="166"/>
      <c r="FU77" s="166"/>
      <c r="FV77" s="166"/>
      <c r="FW77" s="166"/>
      <c r="FX77" s="166"/>
      <c r="FY77" s="166"/>
      <c r="FZ77" s="166"/>
      <c r="GA77" s="166"/>
      <c r="GB77" s="166"/>
      <c r="GC77" s="166"/>
      <c r="GD77" s="166"/>
      <c r="GE77" s="166"/>
      <c r="GF77" s="166"/>
      <c r="GG77" s="166"/>
      <c r="GH77" s="166"/>
      <c r="GI77" s="166"/>
      <c r="GJ77" s="166"/>
      <c r="GK77" s="166"/>
      <c r="GL77" s="166"/>
      <c r="GM77" s="166"/>
      <c r="GN77" s="166"/>
      <c r="GO77" s="166"/>
      <c r="GP77" s="166"/>
      <c r="GQ77" s="166"/>
      <c r="GR77" s="166"/>
      <c r="GS77" s="166"/>
      <c r="GT77" s="166"/>
      <c r="GU77" s="166"/>
      <c r="GV77" s="166"/>
      <c r="GW77" s="166"/>
      <c r="GX77" s="166"/>
      <c r="GY77" s="166"/>
      <c r="GZ77" s="166"/>
      <c r="HA77" s="166"/>
      <c r="HB77" s="166"/>
      <c r="HC77" s="166"/>
      <c r="HD77" s="166"/>
      <c r="HE77" s="166"/>
      <c r="HF77" s="166"/>
      <c r="HG77" s="166"/>
      <c r="HH77" s="166"/>
      <c r="HI77" s="166"/>
      <c r="HJ77" s="166"/>
      <c r="HK77" s="166"/>
      <c r="HL77" s="166"/>
      <c r="HM77" s="166"/>
      <c r="HN77" s="166"/>
      <c r="HO77" s="166"/>
      <c r="HP77" s="166"/>
      <c r="HQ77" s="166"/>
      <c r="HR77" s="166"/>
      <c r="HS77" s="166"/>
      <c r="HT77" s="166"/>
      <c r="HU77" s="166"/>
      <c r="HV77" s="166"/>
      <c r="HW77" s="166"/>
      <c r="HX77" s="166"/>
      <c r="HY77" s="166"/>
      <c r="HZ77" s="166"/>
      <c r="IA77" s="166"/>
      <c r="IB77" s="166"/>
      <c r="IC77" s="166"/>
      <c r="ID77" s="166"/>
      <c r="IE77" s="166"/>
      <c r="IF77" s="166"/>
      <c r="IG77" s="166"/>
      <c r="IH77" s="166"/>
      <c r="II77" s="166"/>
      <c r="IJ77" s="166"/>
      <c r="IK77" s="166"/>
      <c r="IL77" s="166"/>
      <c r="IM77" s="166"/>
      <c r="IN77" s="166"/>
      <c r="IO77" s="166"/>
      <c r="IP77" s="166"/>
      <c r="IQ77" s="166"/>
      <c r="IR77" s="166"/>
      <c r="IS77" s="166"/>
      <c r="IT77" s="166"/>
      <c r="IU77" s="166"/>
      <c r="IV77" s="166"/>
    </row>
    <row r="78" spans="1:256" x14ac:dyDescent="0.25">
      <c r="A78" s="325">
        <f>IF(Info!$J$3&gt;0,Info!$J$3+B78, )</f>
        <v>0</v>
      </c>
      <c r="B78" s="215">
        <v>68</v>
      </c>
      <c r="C78" s="299"/>
      <c r="D78" s="211"/>
      <c r="E78" s="294"/>
      <c r="F78" s="294"/>
      <c r="G78" s="211"/>
      <c r="H78" s="211"/>
      <c r="I78" s="211"/>
      <c r="J78" s="205"/>
      <c r="K78" s="38"/>
      <c r="L78" s="166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6"/>
      <c r="AG78" s="166"/>
      <c r="AH78" s="166"/>
      <c r="AI78" s="166"/>
      <c r="AJ78" s="166"/>
      <c r="AK78" s="166"/>
      <c r="AL78" s="166"/>
      <c r="AM78" s="166"/>
      <c r="AN78" s="166"/>
      <c r="AO78" s="166"/>
      <c r="AP78" s="166"/>
      <c r="AQ78" s="166"/>
      <c r="AR78" s="166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  <c r="BK78" s="166"/>
      <c r="BL78" s="166"/>
      <c r="BM78" s="166"/>
      <c r="BN78" s="166"/>
      <c r="BO78" s="166"/>
      <c r="BP78" s="166"/>
      <c r="BQ78" s="166"/>
      <c r="BR78" s="166"/>
      <c r="BS78" s="166"/>
      <c r="BT78" s="166"/>
      <c r="BU78" s="166"/>
      <c r="BV78" s="166"/>
      <c r="BW78" s="166"/>
      <c r="BX78" s="166"/>
      <c r="BY78" s="166"/>
      <c r="BZ78" s="166"/>
      <c r="CA78" s="166"/>
      <c r="CB78" s="166"/>
      <c r="CC78" s="166"/>
      <c r="CD78" s="166"/>
      <c r="CE78" s="166"/>
      <c r="CF78" s="166"/>
      <c r="CG78" s="166"/>
      <c r="CH78" s="166"/>
      <c r="CI78" s="166"/>
      <c r="CJ78" s="166"/>
      <c r="CK78" s="166"/>
      <c r="CL78" s="166"/>
      <c r="CM78" s="166"/>
      <c r="CN78" s="166"/>
      <c r="CO78" s="166"/>
      <c r="CP78" s="166"/>
      <c r="CQ78" s="166"/>
      <c r="CR78" s="166"/>
      <c r="CS78" s="166"/>
      <c r="CT78" s="166"/>
      <c r="CU78" s="166"/>
      <c r="CV78" s="166"/>
      <c r="CW78" s="166"/>
      <c r="CX78" s="166"/>
      <c r="CY78" s="166"/>
      <c r="CZ78" s="166"/>
      <c r="DA78" s="166"/>
      <c r="DB78" s="166"/>
      <c r="DC78" s="166"/>
      <c r="DD78" s="166"/>
      <c r="DE78" s="166"/>
      <c r="DF78" s="166"/>
      <c r="DG78" s="166"/>
      <c r="DH78" s="166"/>
      <c r="DI78" s="166"/>
      <c r="DJ78" s="166"/>
      <c r="DK78" s="166"/>
      <c r="DL78" s="166"/>
      <c r="DM78" s="166"/>
      <c r="DN78" s="166"/>
      <c r="DO78" s="166"/>
      <c r="DP78" s="166"/>
      <c r="DQ78" s="166"/>
      <c r="DR78" s="166"/>
      <c r="DS78" s="166"/>
      <c r="DT78" s="166"/>
      <c r="DU78" s="166"/>
      <c r="DV78" s="166"/>
      <c r="DW78" s="166"/>
      <c r="DX78" s="166"/>
      <c r="DY78" s="166"/>
      <c r="DZ78" s="166"/>
      <c r="EA78" s="166"/>
      <c r="EB78" s="166"/>
      <c r="EC78" s="166"/>
      <c r="ED78" s="166"/>
      <c r="EE78" s="166"/>
      <c r="EF78" s="166"/>
      <c r="EG78" s="166"/>
      <c r="EH78" s="166"/>
      <c r="EI78" s="166"/>
      <c r="EJ78" s="166"/>
      <c r="EK78" s="166"/>
      <c r="EL78" s="166"/>
      <c r="EM78" s="166"/>
      <c r="EN78" s="166"/>
      <c r="EO78" s="166"/>
      <c r="EP78" s="166"/>
      <c r="EQ78" s="166"/>
      <c r="ER78" s="166"/>
      <c r="ES78" s="166"/>
      <c r="ET78" s="166"/>
      <c r="EU78" s="166"/>
      <c r="EV78" s="166"/>
      <c r="EW78" s="166"/>
      <c r="EX78" s="166"/>
      <c r="EY78" s="166"/>
      <c r="EZ78" s="166"/>
      <c r="FA78" s="166"/>
      <c r="FB78" s="166"/>
      <c r="FC78" s="166"/>
      <c r="FD78" s="166"/>
      <c r="FE78" s="166"/>
      <c r="FF78" s="166"/>
      <c r="FG78" s="166"/>
      <c r="FH78" s="166"/>
      <c r="FI78" s="166"/>
      <c r="FJ78" s="166"/>
      <c r="FK78" s="166"/>
      <c r="FL78" s="166"/>
      <c r="FM78" s="166"/>
      <c r="FN78" s="166"/>
      <c r="FO78" s="166"/>
      <c r="FP78" s="166"/>
      <c r="FQ78" s="166"/>
      <c r="FR78" s="166"/>
      <c r="FS78" s="166"/>
      <c r="FT78" s="166"/>
      <c r="FU78" s="166"/>
      <c r="FV78" s="166"/>
      <c r="FW78" s="166"/>
      <c r="FX78" s="166"/>
      <c r="FY78" s="166"/>
      <c r="FZ78" s="166"/>
      <c r="GA78" s="166"/>
      <c r="GB78" s="166"/>
      <c r="GC78" s="166"/>
      <c r="GD78" s="166"/>
      <c r="GE78" s="166"/>
      <c r="GF78" s="166"/>
      <c r="GG78" s="166"/>
      <c r="GH78" s="166"/>
      <c r="GI78" s="166"/>
      <c r="GJ78" s="166"/>
      <c r="GK78" s="166"/>
      <c r="GL78" s="166"/>
      <c r="GM78" s="166"/>
      <c r="GN78" s="166"/>
      <c r="GO78" s="166"/>
      <c r="GP78" s="166"/>
      <c r="GQ78" s="166"/>
      <c r="GR78" s="166"/>
      <c r="GS78" s="166"/>
      <c r="GT78" s="166"/>
      <c r="GU78" s="166"/>
      <c r="GV78" s="166"/>
      <c r="GW78" s="166"/>
      <c r="GX78" s="166"/>
      <c r="GY78" s="166"/>
      <c r="GZ78" s="166"/>
      <c r="HA78" s="166"/>
      <c r="HB78" s="166"/>
      <c r="HC78" s="166"/>
      <c r="HD78" s="166"/>
      <c r="HE78" s="166"/>
      <c r="HF78" s="166"/>
      <c r="HG78" s="166"/>
      <c r="HH78" s="166"/>
      <c r="HI78" s="166"/>
      <c r="HJ78" s="166"/>
      <c r="HK78" s="166"/>
      <c r="HL78" s="166"/>
      <c r="HM78" s="166"/>
      <c r="HN78" s="166"/>
      <c r="HO78" s="166"/>
      <c r="HP78" s="166"/>
      <c r="HQ78" s="166"/>
      <c r="HR78" s="166"/>
      <c r="HS78" s="166"/>
      <c r="HT78" s="166"/>
      <c r="HU78" s="166"/>
      <c r="HV78" s="166"/>
      <c r="HW78" s="166"/>
      <c r="HX78" s="166"/>
      <c r="HY78" s="166"/>
      <c r="HZ78" s="166"/>
      <c r="IA78" s="166"/>
      <c r="IB78" s="166"/>
      <c r="IC78" s="166"/>
      <c r="ID78" s="166"/>
      <c r="IE78" s="166"/>
      <c r="IF78" s="166"/>
      <c r="IG78" s="166"/>
      <c r="IH78" s="166"/>
      <c r="II78" s="166"/>
      <c r="IJ78" s="166"/>
      <c r="IK78" s="166"/>
      <c r="IL78" s="166"/>
      <c r="IM78" s="166"/>
      <c r="IN78" s="166"/>
      <c r="IO78" s="166"/>
      <c r="IP78" s="166"/>
      <c r="IQ78" s="166"/>
      <c r="IR78" s="166"/>
      <c r="IS78" s="166"/>
      <c r="IT78" s="166"/>
      <c r="IU78" s="166"/>
      <c r="IV78" s="166"/>
    </row>
    <row r="79" spans="1:256" x14ac:dyDescent="0.25">
      <c r="A79" s="325">
        <f>IF(Info!$J$3&gt;0,Info!$J$3+B79, )</f>
        <v>0</v>
      </c>
      <c r="B79" s="215">
        <v>69</v>
      </c>
      <c r="C79" s="300"/>
      <c r="D79" s="211"/>
      <c r="E79" s="294"/>
      <c r="F79" s="294"/>
      <c r="G79" s="211"/>
      <c r="H79" s="211"/>
      <c r="I79" s="211"/>
      <c r="J79" s="205"/>
      <c r="K79" s="38"/>
      <c r="L79" s="166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6"/>
      <c r="AG79" s="166"/>
      <c r="AH79" s="166"/>
      <c r="AI79" s="166"/>
      <c r="AJ79" s="166"/>
      <c r="AK79" s="166"/>
      <c r="AL79" s="166"/>
      <c r="AM79" s="166"/>
      <c r="AN79" s="166"/>
      <c r="AO79" s="166"/>
      <c r="AP79" s="166"/>
      <c r="AQ79" s="166"/>
      <c r="AR79" s="166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  <c r="BK79" s="166"/>
      <c r="BL79" s="166"/>
      <c r="BM79" s="166"/>
      <c r="BN79" s="166"/>
      <c r="BO79" s="166"/>
      <c r="BP79" s="166"/>
      <c r="BQ79" s="166"/>
      <c r="BR79" s="166"/>
      <c r="BS79" s="166"/>
      <c r="BT79" s="166"/>
      <c r="BU79" s="166"/>
      <c r="BV79" s="166"/>
      <c r="BW79" s="166"/>
      <c r="BX79" s="166"/>
      <c r="BY79" s="166"/>
      <c r="BZ79" s="166"/>
      <c r="CA79" s="166"/>
      <c r="CB79" s="166"/>
      <c r="CC79" s="166"/>
      <c r="CD79" s="166"/>
      <c r="CE79" s="166"/>
      <c r="CF79" s="166"/>
      <c r="CG79" s="166"/>
      <c r="CH79" s="166"/>
      <c r="CI79" s="166"/>
      <c r="CJ79" s="166"/>
      <c r="CK79" s="166"/>
      <c r="CL79" s="166"/>
      <c r="CM79" s="166"/>
      <c r="CN79" s="166"/>
      <c r="CO79" s="166"/>
      <c r="CP79" s="166"/>
      <c r="CQ79" s="166"/>
      <c r="CR79" s="166"/>
      <c r="CS79" s="166"/>
      <c r="CT79" s="166"/>
      <c r="CU79" s="166"/>
      <c r="CV79" s="166"/>
      <c r="CW79" s="166"/>
      <c r="CX79" s="166"/>
      <c r="CY79" s="166"/>
      <c r="CZ79" s="166"/>
      <c r="DA79" s="166"/>
      <c r="DB79" s="166"/>
      <c r="DC79" s="166"/>
      <c r="DD79" s="166"/>
      <c r="DE79" s="166"/>
      <c r="DF79" s="166"/>
      <c r="DG79" s="166"/>
      <c r="DH79" s="166"/>
      <c r="DI79" s="166"/>
      <c r="DJ79" s="166"/>
      <c r="DK79" s="166"/>
      <c r="DL79" s="166"/>
      <c r="DM79" s="166"/>
      <c r="DN79" s="166"/>
      <c r="DO79" s="166"/>
      <c r="DP79" s="166"/>
      <c r="DQ79" s="166"/>
      <c r="DR79" s="166"/>
      <c r="DS79" s="166"/>
      <c r="DT79" s="166"/>
      <c r="DU79" s="166"/>
      <c r="DV79" s="166"/>
      <c r="DW79" s="166"/>
      <c r="DX79" s="166"/>
      <c r="DY79" s="166"/>
      <c r="DZ79" s="166"/>
      <c r="EA79" s="166"/>
      <c r="EB79" s="166"/>
      <c r="EC79" s="166"/>
      <c r="ED79" s="166"/>
      <c r="EE79" s="166"/>
      <c r="EF79" s="166"/>
      <c r="EG79" s="166"/>
      <c r="EH79" s="166"/>
      <c r="EI79" s="166"/>
      <c r="EJ79" s="166"/>
      <c r="EK79" s="166"/>
      <c r="EL79" s="166"/>
      <c r="EM79" s="166"/>
      <c r="EN79" s="166"/>
      <c r="EO79" s="166"/>
      <c r="EP79" s="166"/>
      <c r="EQ79" s="166"/>
      <c r="ER79" s="166"/>
      <c r="ES79" s="166"/>
      <c r="ET79" s="166"/>
      <c r="EU79" s="166"/>
      <c r="EV79" s="166"/>
      <c r="EW79" s="166"/>
      <c r="EX79" s="166"/>
      <c r="EY79" s="166"/>
      <c r="EZ79" s="166"/>
      <c r="FA79" s="166"/>
      <c r="FB79" s="166"/>
      <c r="FC79" s="166"/>
      <c r="FD79" s="166"/>
      <c r="FE79" s="166"/>
      <c r="FF79" s="166"/>
      <c r="FG79" s="166"/>
      <c r="FH79" s="166"/>
      <c r="FI79" s="166"/>
      <c r="FJ79" s="166"/>
      <c r="FK79" s="166"/>
      <c r="FL79" s="166"/>
      <c r="FM79" s="166"/>
      <c r="FN79" s="166"/>
      <c r="FO79" s="166"/>
      <c r="FP79" s="166"/>
      <c r="FQ79" s="166"/>
      <c r="FR79" s="166"/>
      <c r="FS79" s="166"/>
      <c r="FT79" s="166"/>
      <c r="FU79" s="166"/>
      <c r="FV79" s="166"/>
      <c r="FW79" s="166"/>
      <c r="FX79" s="166"/>
      <c r="FY79" s="166"/>
      <c r="FZ79" s="166"/>
      <c r="GA79" s="166"/>
      <c r="GB79" s="166"/>
      <c r="GC79" s="166"/>
      <c r="GD79" s="166"/>
      <c r="GE79" s="166"/>
      <c r="GF79" s="166"/>
      <c r="GG79" s="166"/>
      <c r="GH79" s="166"/>
      <c r="GI79" s="166"/>
      <c r="GJ79" s="166"/>
      <c r="GK79" s="166"/>
      <c r="GL79" s="166"/>
      <c r="GM79" s="166"/>
      <c r="GN79" s="166"/>
      <c r="GO79" s="166"/>
      <c r="GP79" s="166"/>
      <c r="GQ79" s="166"/>
      <c r="GR79" s="166"/>
      <c r="GS79" s="166"/>
      <c r="GT79" s="166"/>
      <c r="GU79" s="166"/>
      <c r="GV79" s="166"/>
      <c r="GW79" s="166"/>
      <c r="GX79" s="166"/>
      <c r="GY79" s="166"/>
      <c r="GZ79" s="166"/>
      <c r="HA79" s="166"/>
      <c r="HB79" s="166"/>
      <c r="HC79" s="166"/>
      <c r="HD79" s="166"/>
      <c r="HE79" s="166"/>
      <c r="HF79" s="166"/>
      <c r="HG79" s="166"/>
      <c r="HH79" s="166"/>
      <c r="HI79" s="166"/>
      <c r="HJ79" s="166"/>
      <c r="HK79" s="166"/>
      <c r="HL79" s="166"/>
      <c r="HM79" s="166"/>
      <c r="HN79" s="166"/>
      <c r="HO79" s="166"/>
      <c r="HP79" s="166"/>
      <c r="HQ79" s="166"/>
      <c r="HR79" s="166"/>
      <c r="HS79" s="166"/>
      <c r="HT79" s="166"/>
      <c r="HU79" s="166"/>
      <c r="HV79" s="166"/>
      <c r="HW79" s="166"/>
      <c r="HX79" s="166"/>
      <c r="HY79" s="166"/>
      <c r="HZ79" s="166"/>
      <c r="IA79" s="166"/>
      <c r="IB79" s="166"/>
      <c r="IC79" s="166"/>
      <c r="ID79" s="166"/>
      <c r="IE79" s="166"/>
      <c r="IF79" s="166"/>
      <c r="IG79" s="166"/>
      <c r="IH79" s="166"/>
      <c r="II79" s="166"/>
      <c r="IJ79" s="166"/>
      <c r="IK79" s="166"/>
      <c r="IL79" s="166"/>
      <c r="IM79" s="166"/>
      <c r="IN79" s="166"/>
      <c r="IO79" s="166"/>
      <c r="IP79" s="166"/>
      <c r="IQ79" s="166"/>
      <c r="IR79" s="166"/>
      <c r="IS79" s="166"/>
      <c r="IT79" s="166"/>
      <c r="IU79" s="166"/>
      <c r="IV79" s="166"/>
    </row>
    <row r="80" spans="1:256" x14ac:dyDescent="0.25">
      <c r="A80" s="325">
        <f>IF(Info!$J$3&gt;0,Info!$J$3+B80, )</f>
        <v>0</v>
      </c>
      <c r="B80" s="215">
        <v>70</v>
      </c>
      <c r="C80" s="299"/>
      <c r="D80" s="211"/>
      <c r="E80" s="294"/>
      <c r="F80" s="294"/>
      <c r="G80" s="211"/>
      <c r="H80" s="211"/>
      <c r="I80" s="211"/>
      <c r="J80" s="206"/>
      <c r="K80" s="38"/>
      <c r="L80" s="166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  <c r="AG80" s="166"/>
      <c r="AH80" s="166"/>
      <c r="AI80" s="166"/>
      <c r="AJ80" s="166"/>
      <c r="AK80" s="166"/>
      <c r="AL80" s="166"/>
      <c r="AM80" s="166"/>
      <c r="AN80" s="166"/>
      <c r="AO80" s="166"/>
      <c r="AP80" s="166"/>
      <c r="AQ80" s="166"/>
      <c r="AR80" s="166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  <c r="BK80" s="166"/>
      <c r="BL80" s="166"/>
      <c r="BM80" s="166"/>
      <c r="BN80" s="166"/>
      <c r="BO80" s="166"/>
      <c r="BP80" s="166"/>
      <c r="BQ80" s="166"/>
      <c r="BR80" s="166"/>
      <c r="BS80" s="166"/>
      <c r="BT80" s="166"/>
      <c r="BU80" s="166"/>
      <c r="BV80" s="166"/>
      <c r="BW80" s="166"/>
      <c r="BX80" s="166"/>
      <c r="BY80" s="166"/>
      <c r="BZ80" s="166"/>
      <c r="CA80" s="166"/>
      <c r="CB80" s="166"/>
      <c r="CC80" s="166"/>
      <c r="CD80" s="166"/>
      <c r="CE80" s="166"/>
      <c r="CF80" s="166"/>
      <c r="CG80" s="166"/>
      <c r="CH80" s="166"/>
      <c r="CI80" s="166"/>
      <c r="CJ80" s="166"/>
      <c r="CK80" s="166"/>
      <c r="CL80" s="166"/>
      <c r="CM80" s="166"/>
      <c r="CN80" s="166"/>
      <c r="CO80" s="166"/>
      <c r="CP80" s="166"/>
      <c r="CQ80" s="166"/>
      <c r="CR80" s="166"/>
      <c r="CS80" s="166"/>
      <c r="CT80" s="166"/>
      <c r="CU80" s="166"/>
      <c r="CV80" s="166"/>
      <c r="CW80" s="166"/>
      <c r="CX80" s="166"/>
      <c r="CY80" s="166"/>
      <c r="CZ80" s="166"/>
      <c r="DA80" s="166"/>
      <c r="DB80" s="166"/>
      <c r="DC80" s="166"/>
      <c r="DD80" s="166"/>
      <c r="DE80" s="166"/>
      <c r="DF80" s="166"/>
      <c r="DG80" s="166"/>
      <c r="DH80" s="166"/>
      <c r="DI80" s="166"/>
      <c r="DJ80" s="166"/>
      <c r="DK80" s="166"/>
      <c r="DL80" s="166"/>
      <c r="DM80" s="166"/>
      <c r="DN80" s="166"/>
      <c r="DO80" s="166"/>
      <c r="DP80" s="166"/>
      <c r="DQ80" s="166"/>
      <c r="DR80" s="166"/>
      <c r="DS80" s="166"/>
      <c r="DT80" s="166"/>
      <c r="DU80" s="166"/>
      <c r="DV80" s="166"/>
      <c r="DW80" s="166"/>
      <c r="DX80" s="166"/>
      <c r="DY80" s="166"/>
      <c r="DZ80" s="166"/>
      <c r="EA80" s="166"/>
      <c r="EB80" s="166"/>
      <c r="EC80" s="166"/>
      <c r="ED80" s="166"/>
      <c r="EE80" s="166"/>
      <c r="EF80" s="166"/>
      <c r="EG80" s="166"/>
      <c r="EH80" s="166"/>
      <c r="EI80" s="166"/>
      <c r="EJ80" s="166"/>
      <c r="EK80" s="166"/>
      <c r="EL80" s="166"/>
      <c r="EM80" s="166"/>
      <c r="EN80" s="166"/>
      <c r="EO80" s="166"/>
      <c r="EP80" s="166"/>
      <c r="EQ80" s="166"/>
      <c r="ER80" s="166"/>
      <c r="ES80" s="166"/>
      <c r="ET80" s="166"/>
      <c r="EU80" s="166"/>
      <c r="EV80" s="166"/>
      <c r="EW80" s="166"/>
      <c r="EX80" s="166"/>
      <c r="EY80" s="166"/>
      <c r="EZ80" s="166"/>
      <c r="FA80" s="166"/>
      <c r="FB80" s="166"/>
      <c r="FC80" s="166"/>
      <c r="FD80" s="166"/>
      <c r="FE80" s="166"/>
      <c r="FF80" s="166"/>
      <c r="FG80" s="166"/>
      <c r="FH80" s="166"/>
      <c r="FI80" s="166"/>
      <c r="FJ80" s="166"/>
      <c r="FK80" s="166"/>
      <c r="FL80" s="166"/>
      <c r="FM80" s="166"/>
      <c r="FN80" s="166"/>
      <c r="FO80" s="166"/>
      <c r="FP80" s="166"/>
      <c r="FQ80" s="166"/>
      <c r="FR80" s="166"/>
      <c r="FS80" s="166"/>
      <c r="FT80" s="166"/>
      <c r="FU80" s="166"/>
      <c r="FV80" s="166"/>
      <c r="FW80" s="166"/>
      <c r="FX80" s="166"/>
      <c r="FY80" s="166"/>
      <c r="FZ80" s="166"/>
      <c r="GA80" s="166"/>
      <c r="GB80" s="166"/>
      <c r="GC80" s="166"/>
      <c r="GD80" s="166"/>
      <c r="GE80" s="166"/>
      <c r="GF80" s="166"/>
      <c r="GG80" s="166"/>
      <c r="GH80" s="166"/>
      <c r="GI80" s="166"/>
      <c r="GJ80" s="166"/>
      <c r="GK80" s="166"/>
      <c r="GL80" s="166"/>
      <c r="GM80" s="166"/>
      <c r="GN80" s="166"/>
      <c r="GO80" s="166"/>
      <c r="GP80" s="166"/>
      <c r="GQ80" s="166"/>
      <c r="GR80" s="166"/>
      <c r="GS80" s="166"/>
      <c r="GT80" s="166"/>
      <c r="GU80" s="166"/>
      <c r="GV80" s="166"/>
      <c r="GW80" s="166"/>
      <c r="GX80" s="166"/>
      <c r="GY80" s="166"/>
      <c r="GZ80" s="166"/>
      <c r="HA80" s="166"/>
      <c r="HB80" s="166"/>
      <c r="HC80" s="166"/>
      <c r="HD80" s="166"/>
      <c r="HE80" s="166"/>
      <c r="HF80" s="166"/>
      <c r="HG80" s="166"/>
      <c r="HH80" s="166"/>
      <c r="HI80" s="166"/>
      <c r="HJ80" s="166"/>
      <c r="HK80" s="166"/>
      <c r="HL80" s="166"/>
      <c r="HM80" s="166"/>
      <c r="HN80" s="166"/>
      <c r="HO80" s="166"/>
      <c r="HP80" s="166"/>
      <c r="HQ80" s="166"/>
      <c r="HR80" s="166"/>
      <c r="HS80" s="166"/>
      <c r="HT80" s="166"/>
      <c r="HU80" s="166"/>
      <c r="HV80" s="166"/>
      <c r="HW80" s="166"/>
      <c r="HX80" s="166"/>
      <c r="HY80" s="166"/>
      <c r="HZ80" s="166"/>
      <c r="IA80" s="166"/>
      <c r="IB80" s="166"/>
      <c r="IC80" s="166"/>
      <c r="ID80" s="166"/>
      <c r="IE80" s="166"/>
      <c r="IF80" s="166"/>
      <c r="IG80" s="166"/>
      <c r="IH80" s="166"/>
      <c r="II80" s="166"/>
      <c r="IJ80" s="166"/>
      <c r="IK80" s="166"/>
      <c r="IL80" s="166"/>
      <c r="IM80" s="166"/>
      <c r="IN80" s="166"/>
      <c r="IO80" s="166"/>
      <c r="IP80" s="166"/>
      <c r="IQ80" s="166"/>
      <c r="IR80" s="166"/>
      <c r="IS80" s="166"/>
      <c r="IT80" s="166"/>
      <c r="IU80" s="166"/>
      <c r="IV80" s="166"/>
    </row>
    <row r="81" spans="1:256" x14ac:dyDescent="0.25">
      <c r="A81" s="326">
        <f>A80</f>
        <v>0</v>
      </c>
      <c r="B81" s="207" t="str">
        <f>Traducción!$B$24&amp;" 10"</f>
        <v>Sem. 10</v>
      </c>
      <c r="C81" s="301">
        <f>SUM(C74:C80)</f>
        <v>0</v>
      </c>
      <c r="D81" s="288">
        <f t="shared" ref="D81" si="21">IFERROR(AVERAGE(D74:D80), )</f>
        <v>0</v>
      </c>
      <c r="E81" s="296">
        <f t="shared" ref="E81:F81" si="22">SUM(E74:E80)</f>
        <v>0</v>
      </c>
      <c r="F81" s="296">
        <f t="shared" si="22"/>
        <v>0</v>
      </c>
      <c r="G81" s="288">
        <f t="shared" ref="G81:I81" si="23">IFERROR(AVERAGE(G74:G80), )</f>
        <v>0</v>
      </c>
      <c r="H81" s="210">
        <f t="shared" si="23"/>
        <v>0</v>
      </c>
      <c r="I81" s="210">
        <f t="shared" si="23"/>
        <v>0</v>
      </c>
      <c r="J81" s="202"/>
      <c r="K81" s="38"/>
      <c r="L81" s="166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  <c r="AG81" s="166"/>
      <c r="AH81" s="166"/>
      <c r="AI81" s="166"/>
      <c r="AJ81" s="166"/>
      <c r="AK81" s="166"/>
      <c r="AL81" s="166"/>
      <c r="AM81" s="166"/>
      <c r="AN81" s="166"/>
      <c r="AO81" s="166"/>
      <c r="AP81" s="166"/>
      <c r="AQ81" s="166"/>
      <c r="AR81" s="166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  <c r="BK81" s="166"/>
      <c r="BL81" s="166"/>
      <c r="BM81" s="166"/>
      <c r="BN81" s="166"/>
      <c r="BO81" s="166"/>
      <c r="BP81" s="166"/>
      <c r="BQ81" s="166"/>
      <c r="BR81" s="166"/>
      <c r="BS81" s="166"/>
      <c r="BT81" s="166"/>
      <c r="BU81" s="166"/>
      <c r="BV81" s="166"/>
      <c r="BW81" s="166"/>
      <c r="BX81" s="166"/>
      <c r="BY81" s="166"/>
      <c r="BZ81" s="166"/>
      <c r="CA81" s="166"/>
      <c r="CB81" s="166"/>
      <c r="CC81" s="166"/>
      <c r="CD81" s="166"/>
      <c r="CE81" s="166"/>
      <c r="CF81" s="166"/>
      <c r="CG81" s="166"/>
      <c r="CH81" s="166"/>
      <c r="CI81" s="166"/>
      <c r="CJ81" s="166"/>
      <c r="CK81" s="166"/>
      <c r="CL81" s="166"/>
      <c r="CM81" s="166"/>
      <c r="CN81" s="166"/>
      <c r="CO81" s="166"/>
      <c r="CP81" s="166"/>
      <c r="CQ81" s="166"/>
      <c r="CR81" s="166"/>
      <c r="CS81" s="166"/>
      <c r="CT81" s="166"/>
      <c r="CU81" s="166"/>
      <c r="CV81" s="166"/>
      <c r="CW81" s="166"/>
      <c r="CX81" s="166"/>
      <c r="CY81" s="166"/>
      <c r="CZ81" s="166"/>
      <c r="DA81" s="166"/>
      <c r="DB81" s="166"/>
      <c r="DC81" s="166"/>
      <c r="DD81" s="166"/>
      <c r="DE81" s="166"/>
      <c r="DF81" s="166"/>
      <c r="DG81" s="166"/>
      <c r="DH81" s="166"/>
      <c r="DI81" s="166"/>
      <c r="DJ81" s="166"/>
      <c r="DK81" s="166"/>
      <c r="DL81" s="166"/>
      <c r="DM81" s="166"/>
      <c r="DN81" s="166"/>
      <c r="DO81" s="166"/>
      <c r="DP81" s="166"/>
      <c r="DQ81" s="166"/>
      <c r="DR81" s="166"/>
      <c r="DS81" s="166"/>
      <c r="DT81" s="166"/>
      <c r="DU81" s="166"/>
      <c r="DV81" s="166"/>
      <c r="DW81" s="166"/>
      <c r="DX81" s="166"/>
      <c r="DY81" s="166"/>
      <c r="DZ81" s="166"/>
      <c r="EA81" s="166"/>
      <c r="EB81" s="166"/>
      <c r="EC81" s="166"/>
      <c r="ED81" s="166"/>
      <c r="EE81" s="166"/>
      <c r="EF81" s="166"/>
      <c r="EG81" s="166"/>
      <c r="EH81" s="166"/>
      <c r="EI81" s="166"/>
      <c r="EJ81" s="166"/>
      <c r="EK81" s="166"/>
      <c r="EL81" s="166"/>
      <c r="EM81" s="166"/>
      <c r="EN81" s="166"/>
      <c r="EO81" s="166"/>
      <c r="EP81" s="166"/>
      <c r="EQ81" s="166"/>
      <c r="ER81" s="166"/>
      <c r="ES81" s="166"/>
      <c r="ET81" s="166"/>
      <c r="EU81" s="166"/>
      <c r="EV81" s="166"/>
      <c r="EW81" s="166"/>
      <c r="EX81" s="166"/>
      <c r="EY81" s="166"/>
      <c r="EZ81" s="166"/>
      <c r="FA81" s="166"/>
      <c r="FB81" s="166"/>
      <c r="FC81" s="166"/>
      <c r="FD81" s="166"/>
      <c r="FE81" s="166"/>
      <c r="FF81" s="166"/>
      <c r="FG81" s="166"/>
      <c r="FH81" s="166"/>
      <c r="FI81" s="166"/>
      <c r="FJ81" s="166"/>
      <c r="FK81" s="166"/>
      <c r="FL81" s="166"/>
      <c r="FM81" s="166"/>
      <c r="FN81" s="166"/>
      <c r="FO81" s="166"/>
      <c r="FP81" s="166"/>
      <c r="FQ81" s="166"/>
      <c r="FR81" s="166"/>
      <c r="FS81" s="166"/>
      <c r="FT81" s="166"/>
      <c r="FU81" s="166"/>
      <c r="FV81" s="166"/>
      <c r="FW81" s="166"/>
      <c r="FX81" s="166"/>
      <c r="FY81" s="166"/>
      <c r="FZ81" s="166"/>
      <c r="GA81" s="166"/>
      <c r="GB81" s="166"/>
      <c r="GC81" s="166"/>
      <c r="GD81" s="166"/>
      <c r="GE81" s="166"/>
      <c r="GF81" s="166"/>
      <c r="GG81" s="166"/>
      <c r="GH81" s="166"/>
      <c r="GI81" s="166"/>
      <c r="GJ81" s="166"/>
      <c r="GK81" s="166"/>
      <c r="GL81" s="166"/>
      <c r="GM81" s="166"/>
      <c r="GN81" s="166"/>
      <c r="GO81" s="166"/>
      <c r="GP81" s="166"/>
      <c r="GQ81" s="166"/>
      <c r="GR81" s="166"/>
      <c r="GS81" s="166"/>
      <c r="GT81" s="166"/>
      <c r="GU81" s="166"/>
      <c r="GV81" s="166"/>
      <c r="GW81" s="166"/>
      <c r="GX81" s="166"/>
      <c r="GY81" s="166"/>
      <c r="GZ81" s="166"/>
      <c r="HA81" s="166"/>
      <c r="HB81" s="166"/>
      <c r="HC81" s="166"/>
      <c r="HD81" s="166"/>
      <c r="HE81" s="166"/>
      <c r="HF81" s="166"/>
      <c r="HG81" s="166"/>
      <c r="HH81" s="166"/>
      <c r="HI81" s="166"/>
      <c r="HJ81" s="166"/>
      <c r="HK81" s="166"/>
      <c r="HL81" s="166"/>
      <c r="HM81" s="166"/>
      <c r="HN81" s="166"/>
      <c r="HO81" s="166"/>
      <c r="HP81" s="166"/>
      <c r="HQ81" s="166"/>
      <c r="HR81" s="166"/>
      <c r="HS81" s="166"/>
      <c r="HT81" s="166"/>
      <c r="HU81" s="166"/>
      <c r="HV81" s="166"/>
      <c r="HW81" s="166"/>
      <c r="HX81" s="166"/>
      <c r="HY81" s="166"/>
      <c r="HZ81" s="166"/>
      <c r="IA81" s="166"/>
      <c r="IB81" s="166"/>
      <c r="IC81" s="166"/>
      <c r="ID81" s="166"/>
      <c r="IE81" s="166"/>
      <c r="IF81" s="166"/>
      <c r="IG81" s="166"/>
      <c r="IH81" s="166"/>
      <c r="II81" s="166"/>
      <c r="IJ81" s="166"/>
      <c r="IK81" s="166"/>
      <c r="IL81" s="166"/>
      <c r="IM81" s="166"/>
      <c r="IN81" s="166"/>
      <c r="IO81" s="166"/>
      <c r="IP81" s="166"/>
      <c r="IQ81" s="166"/>
      <c r="IR81" s="166"/>
      <c r="IS81" s="166"/>
      <c r="IT81" s="166"/>
      <c r="IU81" s="166"/>
      <c r="IV81" s="166"/>
    </row>
    <row r="82" spans="1:256" x14ac:dyDescent="0.25">
      <c r="A82" s="325">
        <f>IF(Info!$J$3&gt;0,Info!$J$3+B82, )</f>
        <v>0</v>
      </c>
      <c r="B82" s="215">
        <v>71</v>
      </c>
      <c r="C82" s="299"/>
      <c r="D82" s="211"/>
      <c r="E82" s="294"/>
      <c r="F82" s="294"/>
      <c r="G82" s="211"/>
      <c r="H82" s="211"/>
      <c r="I82" s="211"/>
      <c r="J82" s="204"/>
      <c r="K82" s="38"/>
      <c r="L82" s="166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6"/>
      <c r="AG82" s="166"/>
      <c r="AH82" s="166"/>
      <c r="AI82" s="166"/>
      <c r="AJ82" s="166"/>
      <c r="AK82" s="166"/>
      <c r="AL82" s="166"/>
      <c r="AM82" s="166"/>
      <c r="AN82" s="166"/>
      <c r="AO82" s="166"/>
      <c r="AP82" s="166"/>
      <c r="AQ82" s="166"/>
      <c r="AR82" s="166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  <c r="BK82" s="166"/>
      <c r="BL82" s="166"/>
      <c r="BM82" s="166"/>
      <c r="BN82" s="166"/>
      <c r="BO82" s="166"/>
      <c r="BP82" s="166"/>
      <c r="BQ82" s="166"/>
      <c r="BR82" s="166"/>
      <c r="BS82" s="166"/>
      <c r="BT82" s="166"/>
      <c r="BU82" s="166"/>
      <c r="BV82" s="166"/>
      <c r="BW82" s="166"/>
      <c r="BX82" s="166"/>
      <c r="BY82" s="166"/>
      <c r="BZ82" s="166"/>
      <c r="CA82" s="166"/>
      <c r="CB82" s="166"/>
      <c r="CC82" s="166"/>
      <c r="CD82" s="166"/>
      <c r="CE82" s="166"/>
      <c r="CF82" s="166"/>
      <c r="CG82" s="166"/>
      <c r="CH82" s="166"/>
      <c r="CI82" s="166"/>
      <c r="CJ82" s="166"/>
      <c r="CK82" s="166"/>
      <c r="CL82" s="166"/>
      <c r="CM82" s="166"/>
      <c r="CN82" s="166"/>
      <c r="CO82" s="166"/>
      <c r="CP82" s="166"/>
      <c r="CQ82" s="166"/>
      <c r="CR82" s="166"/>
      <c r="CS82" s="166"/>
      <c r="CT82" s="166"/>
      <c r="CU82" s="166"/>
      <c r="CV82" s="166"/>
      <c r="CW82" s="166"/>
      <c r="CX82" s="166"/>
      <c r="CY82" s="166"/>
      <c r="CZ82" s="166"/>
      <c r="DA82" s="166"/>
      <c r="DB82" s="166"/>
      <c r="DC82" s="166"/>
      <c r="DD82" s="166"/>
      <c r="DE82" s="166"/>
      <c r="DF82" s="166"/>
      <c r="DG82" s="166"/>
      <c r="DH82" s="166"/>
      <c r="DI82" s="166"/>
      <c r="DJ82" s="166"/>
      <c r="DK82" s="166"/>
      <c r="DL82" s="166"/>
      <c r="DM82" s="166"/>
      <c r="DN82" s="166"/>
      <c r="DO82" s="166"/>
      <c r="DP82" s="166"/>
      <c r="DQ82" s="166"/>
      <c r="DR82" s="166"/>
      <c r="DS82" s="166"/>
      <c r="DT82" s="166"/>
      <c r="DU82" s="166"/>
      <c r="DV82" s="166"/>
      <c r="DW82" s="166"/>
      <c r="DX82" s="166"/>
      <c r="DY82" s="166"/>
      <c r="DZ82" s="166"/>
      <c r="EA82" s="166"/>
      <c r="EB82" s="166"/>
      <c r="EC82" s="166"/>
      <c r="ED82" s="166"/>
      <c r="EE82" s="166"/>
      <c r="EF82" s="166"/>
      <c r="EG82" s="166"/>
      <c r="EH82" s="166"/>
      <c r="EI82" s="166"/>
      <c r="EJ82" s="166"/>
      <c r="EK82" s="166"/>
      <c r="EL82" s="166"/>
      <c r="EM82" s="166"/>
      <c r="EN82" s="166"/>
      <c r="EO82" s="166"/>
      <c r="EP82" s="166"/>
      <c r="EQ82" s="166"/>
      <c r="ER82" s="166"/>
      <c r="ES82" s="166"/>
      <c r="ET82" s="166"/>
      <c r="EU82" s="166"/>
      <c r="EV82" s="166"/>
      <c r="EW82" s="166"/>
      <c r="EX82" s="166"/>
      <c r="EY82" s="166"/>
      <c r="EZ82" s="166"/>
      <c r="FA82" s="166"/>
      <c r="FB82" s="166"/>
      <c r="FC82" s="166"/>
      <c r="FD82" s="166"/>
      <c r="FE82" s="166"/>
      <c r="FF82" s="166"/>
      <c r="FG82" s="166"/>
      <c r="FH82" s="166"/>
      <c r="FI82" s="166"/>
      <c r="FJ82" s="166"/>
      <c r="FK82" s="166"/>
      <c r="FL82" s="166"/>
      <c r="FM82" s="166"/>
      <c r="FN82" s="166"/>
      <c r="FO82" s="166"/>
      <c r="FP82" s="166"/>
      <c r="FQ82" s="166"/>
      <c r="FR82" s="166"/>
      <c r="FS82" s="166"/>
      <c r="FT82" s="166"/>
      <c r="FU82" s="166"/>
      <c r="FV82" s="166"/>
      <c r="FW82" s="166"/>
      <c r="FX82" s="166"/>
      <c r="FY82" s="166"/>
      <c r="FZ82" s="166"/>
      <c r="GA82" s="166"/>
      <c r="GB82" s="166"/>
      <c r="GC82" s="166"/>
      <c r="GD82" s="166"/>
      <c r="GE82" s="166"/>
      <c r="GF82" s="166"/>
      <c r="GG82" s="166"/>
      <c r="GH82" s="166"/>
      <c r="GI82" s="166"/>
      <c r="GJ82" s="166"/>
      <c r="GK82" s="166"/>
      <c r="GL82" s="166"/>
      <c r="GM82" s="166"/>
      <c r="GN82" s="166"/>
      <c r="GO82" s="166"/>
      <c r="GP82" s="166"/>
      <c r="GQ82" s="166"/>
      <c r="GR82" s="166"/>
      <c r="GS82" s="166"/>
      <c r="GT82" s="166"/>
      <c r="GU82" s="166"/>
      <c r="GV82" s="166"/>
      <c r="GW82" s="166"/>
      <c r="GX82" s="166"/>
      <c r="GY82" s="166"/>
      <c r="GZ82" s="166"/>
      <c r="HA82" s="166"/>
      <c r="HB82" s="166"/>
      <c r="HC82" s="166"/>
      <c r="HD82" s="166"/>
      <c r="HE82" s="166"/>
      <c r="HF82" s="166"/>
      <c r="HG82" s="166"/>
      <c r="HH82" s="166"/>
      <c r="HI82" s="166"/>
      <c r="HJ82" s="166"/>
      <c r="HK82" s="166"/>
      <c r="HL82" s="166"/>
      <c r="HM82" s="166"/>
      <c r="HN82" s="166"/>
      <c r="HO82" s="166"/>
      <c r="HP82" s="166"/>
      <c r="HQ82" s="166"/>
      <c r="HR82" s="166"/>
      <c r="HS82" s="166"/>
      <c r="HT82" s="166"/>
      <c r="HU82" s="166"/>
      <c r="HV82" s="166"/>
      <c r="HW82" s="166"/>
      <c r="HX82" s="166"/>
      <c r="HY82" s="166"/>
      <c r="HZ82" s="166"/>
      <c r="IA82" s="166"/>
      <c r="IB82" s="166"/>
      <c r="IC82" s="166"/>
      <c r="ID82" s="166"/>
      <c r="IE82" s="166"/>
      <c r="IF82" s="166"/>
      <c r="IG82" s="166"/>
      <c r="IH82" s="166"/>
      <c r="II82" s="166"/>
      <c r="IJ82" s="166"/>
      <c r="IK82" s="166"/>
      <c r="IL82" s="166"/>
      <c r="IM82" s="166"/>
      <c r="IN82" s="166"/>
      <c r="IO82" s="166"/>
      <c r="IP82" s="166"/>
      <c r="IQ82" s="166"/>
      <c r="IR82" s="166"/>
      <c r="IS82" s="166"/>
      <c r="IT82" s="166"/>
      <c r="IU82" s="166"/>
      <c r="IV82" s="166"/>
    </row>
    <row r="83" spans="1:256" x14ac:dyDescent="0.25">
      <c r="A83" s="325">
        <f>IF(Info!$J$3&gt;0,Info!$J$3+B83, )</f>
        <v>0</v>
      </c>
      <c r="B83" s="215">
        <v>72</v>
      </c>
      <c r="C83" s="300"/>
      <c r="D83" s="211"/>
      <c r="E83" s="294"/>
      <c r="F83" s="294"/>
      <c r="G83" s="211"/>
      <c r="H83" s="211"/>
      <c r="I83" s="211"/>
      <c r="J83" s="205"/>
      <c r="K83" s="38"/>
      <c r="L83" s="166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  <c r="AG83" s="166"/>
      <c r="AH83" s="166"/>
      <c r="AI83" s="166"/>
      <c r="AJ83" s="166"/>
      <c r="AK83" s="166"/>
      <c r="AL83" s="166"/>
      <c r="AM83" s="166"/>
      <c r="AN83" s="166"/>
      <c r="AO83" s="166"/>
      <c r="AP83" s="166"/>
      <c r="AQ83" s="166"/>
      <c r="AR83" s="166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  <c r="BK83" s="166"/>
      <c r="BL83" s="166"/>
      <c r="BM83" s="166"/>
      <c r="BN83" s="166"/>
      <c r="BO83" s="166"/>
      <c r="BP83" s="166"/>
      <c r="BQ83" s="166"/>
      <c r="BR83" s="166"/>
      <c r="BS83" s="166"/>
      <c r="BT83" s="166"/>
      <c r="BU83" s="166"/>
      <c r="BV83" s="166"/>
      <c r="BW83" s="166"/>
      <c r="BX83" s="166"/>
      <c r="BY83" s="166"/>
      <c r="BZ83" s="166"/>
      <c r="CA83" s="166"/>
      <c r="CB83" s="166"/>
      <c r="CC83" s="166"/>
      <c r="CD83" s="166"/>
      <c r="CE83" s="166"/>
      <c r="CF83" s="166"/>
      <c r="CG83" s="166"/>
      <c r="CH83" s="166"/>
      <c r="CI83" s="166"/>
      <c r="CJ83" s="166"/>
      <c r="CK83" s="166"/>
      <c r="CL83" s="166"/>
      <c r="CM83" s="166"/>
      <c r="CN83" s="166"/>
      <c r="CO83" s="166"/>
      <c r="CP83" s="166"/>
      <c r="CQ83" s="166"/>
      <c r="CR83" s="166"/>
      <c r="CS83" s="166"/>
      <c r="CT83" s="166"/>
      <c r="CU83" s="166"/>
      <c r="CV83" s="166"/>
      <c r="CW83" s="166"/>
      <c r="CX83" s="166"/>
      <c r="CY83" s="166"/>
      <c r="CZ83" s="166"/>
      <c r="DA83" s="166"/>
      <c r="DB83" s="166"/>
      <c r="DC83" s="166"/>
      <c r="DD83" s="166"/>
      <c r="DE83" s="166"/>
      <c r="DF83" s="166"/>
      <c r="DG83" s="166"/>
      <c r="DH83" s="166"/>
      <c r="DI83" s="166"/>
      <c r="DJ83" s="166"/>
      <c r="DK83" s="166"/>
      <c r="DL83" s="166"/>
      <c r="DM83" s="166"/>
      <c r="DN83" s="166"/>
      <c r="DO83" s="166"/>
      <c r="DP83" s="166"/>
      <c r="DQ83" s="166"/>
      <c r="DR83" s="166"/>
      <c r="DS83" s="166"/>
      <c r="DT83" s="166"/>
      <c r="DU83" s="166"/>
      <c r="DV83" s="166"/>
      <c r="DW83" s="166"/>
      <c r="DX83" s="166"/>
      <c r="DY83" s="166"/>
      <c r="DZ83" s="166"/>
      <c r="EA83" s="166"/>
      <c r="EB83" s="166"/>
      <c r="EC83" s="166"/>
      <c r="ED83" s="166"/>
      <c r="EE83" s="166"/>
      <c r="EF83" s="166"/>
      <c r="EG83" s="166"/>
      <c r="EH83" s="166"/>
      <c r="EI83" s="166"/>
      <c r="EJ83" s="166"/>
      <c r="EK83" s="166"/>
      <c r="EL83" s="166"/>
      <c r="EM83" s="166"/>
      <c r="EN83" s="166"/>
      <c r="EO83" s="166"/>
      <c r="EP83" s="166"/>
      <c r="EQ83" s="166"/>
      <c r="ER83" s="166"/>
      <c r="ES83" s="166"/>
      <c r="ET83" s="166"/>
      <c r="EU83" s="166"/>
      <c r="EV83" s="166"/>
      <c r="EW83" s="166"/>
      <c r="EX83" s="166"/>
      <c r="EY83" s="166"/>
      <c r="EZ83" s="166"/>
      <c r="FA83" s="166"/>
      <c r="FB83" s="166"/>
      <c r="FC83" s="166"/>
      <c r="FD83" s="166"/>
      <c r="FE83" s="166"/>
      <c r="FF83" s="166"/>
      <c r="FG83" s="166"/>
      <c r="FH83" s="166"/>
      <c r="FI83" s="166"/>
      <c r="FJ83" s="166"/>
      <c r="FK83" s="166"/>
      <c r="FL83" s="166"/>
      <c r="FM83" s="166"/>
      <c r="FN83" s="166"/>
      <c r="FO83" s="166"/>
      <c r="FP83" s="166"/>
      <c r="FQ83" s="166"/>
      <c r="FR83" s="166"/>
      <c r="FS83" s="166"/>
      <c r="FT83" s="166"/>
      <c r="FU83" s="166"/>
      <c r="FV83" s="166"/>
      <c r="FW83" s="166"/>
      <c r="FX83" s="166"/>
      <c r="FY83" s="166"/>
      <c r="FZ83" s="166"/>
      <c r="GA83" s="166"/>
      <c r="GB83" s="166"/>
      <c r="GC83" s="166"/>
      <c r="GD83" s="166"/>
      <c r="GE83" s="166"/>
      <c r="GF83" s="166"/>
      <c r="GG83" s="166"/>
      <c r="GH83" s="166"/>
      <c r="GI83" s="166"/>
      <c r="GJ83" s="166"/>
      <c r="GK83" s="166"/>
      <c r="GL83" s="166"/>
      <c r="GM83" s="166"/>
      <c r="GN83" s="166"/>
      <c r="GO83" s="166"/>
      <c r="GP83" s="166"/>
      <c r="GQ83" s="166"/>
      <c r="GR83" s="166"/>
      <c r="GS83" s="166"/>
      <c r="GT83" s="166"/>
      <c r="GU83" s="166"/>
      <c r="GV83" s="166"/>
      <c r="GW83" s="166"/>
      <c r="GX83" s="166"/>
      <c r="GY83" s="166"/>
      <c r="GZ83" s="166"/>
      <c r="HA83" s="166"/>
      <c r="HB83" s="166"/>
      <c r="HC83" s="166"/>
      <c r="HD83" s="166"/>
      <c r="HE83" s="166"/>
      <c r="HF83" s="166"/>
      <c r="HG83" s="166"/>
      <c r="HH83" s="166"/>
      <c r="HI83" s="166"/>
      <c r="HJ83" s="166"/>
      <c r="HK83" s="166"/>
      <c r="HL83" s="166"/>
      <c r="HM83" s="166"/>
      <c r="HN83" s="166"/>
      <c r="HO83" s="166"/>
      <c r="HP83" s="166"/>
      <c r="HQ83" s="166"/>
      <c r="HR83" s="166"/>
      <c r="HS83" s="166"/>
      <c r="HT83" s="166"/>
      <c r="HU83" s="166"/>
      <c r="HV83" s="166"/>
      <c r="HW83" s="166"/>
      <c r="HX83" s="166"/>
      <c r="HY83" s="166"/>
      <c r="HZ83" s="166"/>
      <c r="IA83" s="166"/>
      <c r="IB83" s="166"/>
      <c r="IC83" s="166"/>
      <c r="ID83" s="166"/>
      <c r="IE83" s="166"/>
      <c r="IF83" s="166"/>
      <c r="IG83" s="166"/>
      <c r="IH83" s="166"/>
      <c r="II83" s="166"/>
      <c r="IJ83" s="166"/>
      <c r="IK83" s="166"/>
      <c r="IL83" s="166"/>
      <c r="IM83" s="166"/>
      <c r="IN83" s="166"/>
      <c r="IO83" s="166"/>
      <c r="IP83" s="166"/>
      <c r="IQ83" s="166"/>
      <c r="IR83" s="166"/>
      <c r="IS83" s="166"/>
      <c r="IT83" s="166"/>
      <c r="IU83" s="166"/>
      <c r="IV83" s="166"/>
    </row>
    <row r="84" spans="1:256" x14ac:dyDescent="0.25">
      <c r="A84" s="325">
        <f>IF(Info!$J$3&gt;0,Info!$J$3+B84, )</f>
        <v>0</v>
      </c>
      <c r="B84" s="215">
        <v>73</v>
      </c>
      <c r="C84" s="299"/>
      <c r="D84" s="211"/>
      <c r="E84" s="294"/>
      <c r="F84" s="294"/>
      <c r="G84" s="211"/>
      <c r="H84" s="211"/>
      <c r="I84" s="211"/>
      <c r="J84" s="205"/>
      <c r="K84" s="38"/>
      <c r="L84" s="166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  <c r="AG84" s="166"/>
      <c r="AH84" s="166"/>
      <c r="AI84" s="166"/>
      <c r="AJ84" s="166"/>
      <c r="AK84" s="166"/>
      <c r="AL84" s="166"/>
      <c r="AM84" s="166"/>
      <c r="AN84" s="166"/>
      <c r="AO84" s="166"/>
      <c r="AP84" s="166"/>
      <c r="AQ84" s="166"/>
      <c r="AR84" s="166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  <c r="BK84" s="166"/>
      <c r="BL84" s="166"/>
      <c r="BM84" s="166"/>
      <c r="BN84" s="166"/>
      <c r="BO84" s="166"/>
      <c r="BP84" s="166"/>
      <c r="BQ84" s="166"/>
      <c r="BR84" s="166"/>
      <c r="BS84" s="166"/>
      <c r="BT84" s="166"/>
      <c r="BU84" s="166"/>
      <c r="BV84" s="166"/>
      <c r="BW84" s="166"/>
      <c r="BX84" s="166"/>
      <c r="BY84" s="166"/>
      <c r="BZ84" s="166"/>
      <c r="CA84" s="166"/>
      <c r="CB84" s="166"/>
      <c r="CC84" s="166"/>
      <c r="CD84" s="166"/>
      <c r="CE84" s="166"/>
      <c r="CF84" s="166"/>
      <c r="CG84" s="166"/>
      <c r="CH84" s="166"/>
      <c r="CI84" s="166"/>
      <c r="CJ84" s="166"/>
      <c r="CK84" s="166"/>
      <c r="CL84" s="166"/>
      <c r="CM84" s="166"/>
      <c r="CN84" s="166"/>
      <c r="CO84" s="166"/>
      <c r="CP84" s="166"/>
      <c r="CQ84" s="166"/>
      <c r="CR84" s="166"/>
      <c r="CS84" s="166"/>
      <c r="CT84" s="166"/>
      <c r="CU84" s="166"/>
      <c r="CV84" s="166"/>
      <c r="CW84" s="166"/>
      <c r="CX84" s="166"/>
      <c r="CY84" s="166"/>
      <c r="CZ84" s="166"/>
      <c r="DA84" s="166"/>
      <c r="DB84" s="166"/>
      <c r="DC84" s="166"/>
      <c r="DD84" s="166"/>
      <c r="DE84" s="166"/>
      <c r="DF84" s="166"/>
      <c r="DG84" s="166"/>
      <c r="DH84" s="166"/>
      <c r="DI84" s="166"/>
      <c r="DJ84" s="166"/>
      <c r="DK84" s="166"/>
      <c r="DL84" s="166"/>
      <c r="DM84" s="166"/>
      <c r="DN84" s="166"/>
      <c r="DO84" s="166"/>
      <c r="DP84" s="166"/>
      <c r="DQ84" s="166"/>
      <c r="DR84" s="166"/>
      <c r="DS84" s="166"/>
      <c r="DT84" s="166"/>
      <c r="DU84" s="166"/>
      <c r="DV84" s="166"/>
      <c r="DW84" s="166"/>
      <c r="DX84" s="166"/>
      <c r="DY84" s="166"/>
      <c r="DZ84" s="166"/>
      <c r="EA84" s="166"/>
      <c r="EB84" s="166"/>
      <c r="EC84" s="166"/>
      <c r="ED84" s="166"/>
      <c r="EE84" s="166"/>
      <c r="EF84" s="166"/>
      <c r="EG84" s="166"/>
      <c r="EH84" s="166"/>
      <c r="EI84" s="166"/>
      <c r="EJ84" s="166"/>
      <c r="EK84" s="166"/>
      <c r="EL84" s="166"/>
      <c r="EM84" s="166"/>
      <c r="EN84" s="166"/>
      <c r="EO84" s="166"/>
      <c r="EP84" s="166"/>
      <c r="EQ84" s="166"/>
      <c r="ER84" s="166"/>
      <c r="ES84" s="166"/>
      <c r="ET84" s="166"/>
      <c r="EU84" s="166"/>
      <c r="EV84" s="166"/>
      <c r="EW84" s="166"/>
      <c r="EX84" s="166"/>
      <c r="EY84" s="166"/>
      <c r="EZ84" s="166"/>
      <c r="FA84" s="166"/>
      <c r="FB84" s="166"/>
      <c r="FC84" s="166"/>
      <c r="FD84" s="166"/>
      <c r="FE84" s="166"/>
      <c r="FF84" s="166"/>
      <c r="FG84" s="166"/>
      <c r="FH84" s="166"/>
      <c r="FI84" s="166"/>
      <c r="FJ84" s="166"/>
      <c r="FK84" s="166"/>
      <c r="FL84" s="166"/>
      <c r="FM84" s="166"/>
      <c r="FN84" s="166"/>
      <c r="FO84" s="166"/>
      <c r="FP84" s="166"/>
      <c r="FQ84" s="166"/>
      <c r="FR84" s="166"/>
      <c r="FS84" s="166"/>
      <c r="FT84" s="166"/>
      <c r="FU84" s="166"/>
      <c r="FV84" s="166"/>
      <c r="FW84" s="166"/>
      <c r="FX84" s="166"/>
      <c r="FY84" s="166"/>
      <c r="FZ84" s="166"/>
      <c r="GA84" s="166"/>
      <c r="GB84" s="166"/>
      <c r="GC84" s="166"/>
      <c r="GD84" s="166"/>
      <c r="GE84" s="166"/>
      <c r="GF84" s="166"/>
      <c r="GG84" s="166"/>
      <c r="GH84" s="166"/>
      <c r="GI84" s="166"/>
      <c r="GJ84" s="166"/>
      <c r="GK84" s="166"/>
      <c r="GL84" s="166"/>
      <c r="GM84" s="166"/>
      <c r="GN84" s="166"/>
      <c r="GO84" s="166"/>
      <c r="GP84" s="166"/>
      <c r="GQ84" s="166"/>
      <c r="GR84" s="166"/>
      <c r="GS84" s="166"/>
      <c r="GT84" s="166"/>
      <c r="GU84" s="166"/>
      <c r="GV84" s="166"/>
      <c r="GW84" s="166"/>
      <c r="GX84" s="166"/>
      <c r="GY84" s="166"/>
      <c r="GZ84" s="166"/>
      <c r="HA84" s="166"/>
      <c r="HB84" s="166"/>
      <c r="HC84" s="166"/>
      <c r="HD84" s="166"/>
      <c r="HE84" s="166"/>
      <c r="HF84" s="166"/>
      <c r="HG84" s="166"/>
      <c r="HH84" s="166"/>
      <c r="HI84" s="166"/>
      <c r="HJ84" s="166"/>
      <c r="HK84" s="166"/>
      <c r="HL84" s="166"/>
      <c r="HM84" s="166"/>
      <c r="HN84" s="166"/>
      <c r="HO84" s="166"/>
      <c r="HP84" s="166"/>
      <c r="HQ84" s="166"/>
      <c r="HR84" s="166"/>
      <c r="HS84" s="166"/>
      <c r="HT84" s="166"/>
      <c r="HU84" s="166"/>
      <c r="HV84" s="166"/>
      <c r="HW84" s="166"/>
      <c r="HX84" s="166"/>
      <c r="HY84" s="166"/>
      <c r="HZ84" s="166"/>
      <c r="IA84" s="166"/>
      <c r="IB84" s="166"/>
      <c r="IC84" s="166"/>
      <c r="ID84" s="166"/>
      <c r="IE84" s="166"/>
      <c r="IF84" s="166"/>
      <c r="IG84" s="166"/>
      <c r="IH84" s="166"/>
      <c r="II84" s="166"/>
      <c r="IJ84" s="166"/>
      <c r="IK84" s="166"/>
      <c r="IL84" s="166"/>
      <c r="IM84" s="166"/>
      <c r="IN84" s="166"/>
      <c r="IO84" s="166"/>
      <c r="IP84" s="166"/>
      <c r="IQ84" s="166"/>
      <c r="IR84" s="166"/>
      <c r="IS84" s="166"/>
      <c r="IT84" s="166"/>
      <c r="IU84" s="166"/>
      <c r="IV84" s="166"/>
    </row>
    <row r="85" spans="1:256" x14ac:dyDescent="0.25">
      <c r="A85" s="325">
        <f>IF(Info!$J$3&gt;0,Info!$J$3+B85, )</f>
        <v>0</v>
      </c>
      <c r="B85" s="215">
        <v>74</v>
      </c>
      <c r="C85" s="299"/>
      <c r="D85" s="211"/>
      <c r="E85" s="294"/>
      <c r="F85" s="294"/>
      <c r="G85" s="211"/>
      <c r="H85" s="211"/>
      <c r="I85" s="211"/>
      <c r="J85" s="205"/>
      <c r="K85" s="38"/>
      <c r="L85" s="166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  <c r="AG85" s="166"/>
      <c r="AH85" s="166"/>
      <c r="AI85" s="166"/>
      <c r="AJ85" s="166"/>
      <c r="AK85" s="166"/>
      <c r="AL85" s="166"/>
      <c r="AM85" s="166"/>
      <c r="AN85" s="166"/>
      <c r="AO85" s="166"/>
      <c r="AP85" s="166"/>
      <c r="AQ85" s="166"/>
      <c r="AR85" s="166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  <c r="BK85" s="166"/>
      <c r="BL85" s="166"/>
      <c r="BM85" s="166"/>
      <c r="BN85" s="166"/>
      <c r="BO85" s="166"/>
      <c r="BP85" s="166"/>
      <c r="BQ85" s="166"/>
      <c r="BR85" s="166"/>
      <c r="BS85" s="166"/>
      <c r="BT85" s="166"/>
      <c r="BU85" s="166"/>
      <c r="BV85" s="166"/>
      <c r="BW85" s="166"/>
      <c r="BX85" s="166"/>
      <c r="BY85" s="166"/>
      <c r="BZ85" s="166"/>
      <c r="CA85" s="166"/>
      <c r="CB85" s="166"/>
      <c r="CC85" s="166"/>
      <c r="CD85" s="166"/>
      <c r="CE85" s="166"/>
      <c r="CF85" s="166"/>
      <c r="CG85" s="166"/>
      <c r="CH85" s="166"/>
      <c r="CI85" s="166"/>
      <c r="CJ85" s="166"/>
      <c r="CK85" s="166"/>
      <c r="CL85" s="166"/>
      <c r="CM85" s="166"/>
      <c r="CN85" s="166"/>
      <c r="CO85" s="166"/>
      <c r="CP85" s="166"/>
      <c r="CQ85" s="166"/>
      <c r="CR85" s="166"/>
      <c r="CS85" s="166"/>
      <c r="CT85" s="166"/>
      <c r="CU85" s="166"/>
      <c r="CV85" s="166"/>
      <c r="CW85" s="166"/>
      <c r="CX85" s="166"/>
      <c r="CY85" s="166"/>
      <c r="CZ85" s="166"/>
      <c r="DA85" s="166"/>
      <c r="DB85" s="166"/>
      <c r="DC85" s="166"/>
      <c r="DD85" s="166"/>
      <c r="DE85" s="166"/>
      <c r="DF85" s="166"/>
      <c r="DG85" s="166"/>
      <c r="DH85" s="166"/>
      <c r="DI85" s="166"/>
      <c r="DJ85" s="166"/>
      <c r="DK85" s="166"/>
      <c r="DL85" s="166"/>
      <c r="DM85" s="166"/>
      <c r="DN85" s="166"/>
      <c r="DO85" s="166"/>
      <c r="DP85" s="166"/>
      <c r="DQ85" s="166"/>
      <c r="DR85" s="166"/>
      <c r="DS85" s="166"/>
      <c r="DT85" s="166"/>
      <c r="DU85" s="166"/>
      <c r="DV85" s="166"/>
      <c r="DW85" s="166"/>
      <c r="DX85" s="166"/>
      <c r="DY85" s="166"/>
      <c r="DZ85" s="166"/>
      <c r="EA85" s="166"/>
      <c r="EB85" s="166"/>
      <c r="EC85" s="166"/>
      <c r="ED85" s="166"/>
      <c r="EE85" s="166"/>
      <c r="EF85" s="166"/>
      <c r="EG85" s="166"/>
      <c r="EH85" s="166"/>
      <c r="EI85" s="166"/>
      <c r="EJ85" s="166"/>
      <c r="EK85" s="166"/>
      <c r="EL85" s="166"/>
      <c r="EM85" s="166"/>
      <c r="EN85" s="166"/>
      <c r="EO85" s="166"/>
      <c r="EP85" s="166"/>
      <c r="EQ85" s="166"/>
      <c r="ER85" s="166"/>
      <c r="ES85" s="166"/>
      <c r="ET85" s="166"/>
      <c r="EU85" s="166"/>
      <c r="EV85" s="166"/>
      <c r="EW85" s="166"/>
      <c r="EX85" s="166"/>
      <c r="EY85" s="166"/>
      <c r="EZ85" s="166"/>
      <c r="FA85" s="166"/>
      <c r="FB85" s="166"/>
      <c r="FC85" s="166"/>
      <c r="FD85" s="166"/>
      <c r="FE85" s="166"/>
      <c r="FF85" s="166"/>
      <c r="FG85" s="166"/>
      <c r="FH85" s="166"/>
      <c r="FI85" s="166"/>
      <c r="FJ85" s="166"/>
      <c r="FK85" s="166"/>
      <c r="FL85" s="166"/>
      <c r="FM85" s="166"/>
      <c r="FN85" s="166"/>
      <c r="FO85" s="166"/>
      <c r="FP85" s="166"/>
      <c r="FQ85" s="166"/>
      <c r="FR85" s="166"/>
      <c r="FS85" s="166"/>
      <c r="FT85" s="166"/>
      <c r="FU85" s="166"/>
      <c r="FV85" s="166"/>
      <c r="FW85" s="166"/>
      <c r="FX85" s="166"/>
      <c r="FY85" s="166"/>
      <c r="FZ85" s="166"/>
      <c r="GA85" s="166"/>
      <c r="GB85" s="166"/>
      <c r="GC85" s="166"/>
      <c r="GD85" s="166"/>
      <c r="GE85" s="166"/>
      <c r="GF85" s="166"/>
      <c r="GG85" s="166"/>
      <c r="GH85" s="166"/>
      <c r="GI85" s="166"/>
      <c r="GJ85" s="166"/>
      <c r="GK85" s="166"/>
      <c r="GL85" s="166"/>
      <c r="GM85" s="166"/>
      <c r="GN85" s="166"/>
      <c r="GO85" s="166"/>
      <c r="GP85" s="166"/>
      <c r="GQ85" s="166"/>
      <c r="GR85" s="166"/>
      <c r="GS85" s="166"/>
      <c r="GT85" s="166"/>
      <c r="GU85" s="166"/>
      <c r="GV85" s="166"/>
      <c r="GW85" s="166"/>
      <c r="GX85" s="166"/>
      <c r="GY85" s="166"/>
      <c r="GZ85" s="166"/>
      <c r="HA85" s="166"/>
      <c r="HB85" s="166"/>
      <c r="HC85" s="166"/>
      <c r="HD85" s="166"/>
      <c r="HE85" s="166"/>
      <c r="HF85" s="166"/>
      <c r="HG85" s="166"/>
      <c r="HH85" s="166"/>
      <c r="HI85" s="166"/>
      <c r="HJ85" s="166"/>
      <c r="HK85" s="166"/>
      <c r="HL85" s="166"/>
      <c r="HM85" s="166"/>
      <c r="HN85" s="166"/>
      <c r="HO85" s="166"/>
      <c r="HP85" s="166"/>
      <c r="HQ85" s="166"/>
      <c r="HR85" s="166"/>
      <c r="HS85" s="166"/>
      <c r="HT85" s="166"/>
      <c r="HU85" s="166"/>
      <c r="HV85" s="166"/>
      <c r="HW85" s="166"/>
      <c r="HX85" s="166"/>
      <c r="HY85" s="166"/>
      <c r="HZ85" s="166"/>
      <c r="IA85" s="166"/>
      <c r="IB85" s="166"/>
      <c r="IC85" s="166"/>
      <c r="ID85" s="166"/>
      <c r="IE85" s="166"/>
      <c r="IF85" s="166"/>
      <c r="IG85" s="166"/>
      <c r="IH85" s="166"/>
      <c r="II85" s="166"/>
      <c r="IJ85" s="166"/>
      <c r="IK85" s="166"/>
      <c r="IL85" s="166"/>
      <c r="IM85" s="166"/>
      <c r="IN85" s="166"/>
      <c r="IO85" s="166"/>
      <c r="IP85" s="166"/>
      <c r="IQ85" s="166"/>
      <c r="IR85" s="166"/>
      <c r="IS85" s="166"/>
      <c r="IT85" s="166"/>
      <c r="IU85" s="166"/>
      <c r="IV85" s="166"/>
    </row>
    <row r="86" spans="1:256" x14ac:dyDescent="0.25">
      <c r="A86" s="325">
        <f>IF(Info!$J$3&gt;0,Info!$J$3+B86, )</f>
        <v>0</v>
      </c>
      <c r="B86" s="215">
        <v>75</v>
      </c>
      <c r="C86" s="300"/>
      <c r="D86" s="211"/>
      <c r="E86" s="294"/>
      <c r="F86" s="294"/>
      <c r="G86" s="211"/>
      <c r="H86" s="211"/>
      <c r="I86" s="211"/>
      <c r="J86" s="205"/>
      <c r="K86" s="38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  <c r="AL86" s="166"/>
      <c r="AM86" s="166"/>
      <c r="AN86" s="166"/>
      <c r="AO86" s="166"/>
      <c r="AP86" s="166"/>
      <c r="AQ86" s="166"/>
      <c r="AR86" s="166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  <c r="BK86" s="166"/>
      <c r="BL86" s="166"/>
      <c r="BM86" s="166"/>
      <c r="BN86" s="166"/>
      <c r="BO86" s="166"/>
      <c r="BP86" s="166"/>
      <c r="BQ86" s="166"/>
      <c r="BR86" s="166"/>
      <c r="BS86" s="166"/>
      <c r="BT86" s="166"/>
      <c r="BU86" s="166"/>
      <c r="BV86" s="166"/>
      <c r="BW86" s="166"/>
      <c r="BX86" s="166"/>
      <c r="BY86" s="166"/>
      <c r="BZ86" s="166"/>
      <c r="CA86" s="166"/>
      <c r="CB86" s="166"/>
      <c r="CC86" s="166"/>
      <c r="CD86" s="166"/>
      <c r="CE86" s="166"/>
      <c r="CF86" s="166"/>
      <c r="CG86" s="166"/>
      <c r="CH86" s="166"/>
      <c r="CI86" s="166"/>
      <c r="CJ86" s="166"/>
      <c r="CK86" s="166"/>
      <c r="CL86" s="166"/>
      <c r="CM86" s="166"/>
      <c r="CN86" s="166"/>
      <c r="CO86" s="166"/>
      <c r="CP86" s="166"/>
      <c r="CQ86" s="166"/>
      <c r="CR86" s="166"/>
      <c r="CS86" s="166"/>
      <c r="CT86" s="166"/>
      <c r="CU86" s="166"/>
      <c r="CV86" s="166"/>
      <c r="CW86" s="166"/>
      <c r="CX86" s="166"/>
      <c r="CY86" s="166"/>
      <c r="CZ86" s="166"/>
      <c r="DA86" s="166"/>
      <c r="DB86" s="166"/>
      <c r="DC86" s="166"/>
      <c r="DD86" s="166"/>
      <c r="DE86" s="166"/>
      <c r="DF86" s="166"/>
      <c r="DG86" s="166"/>
      <c r="DH86" s="166"/>
      <c r="DI86" s="166"/>
      <c r="DJ86" s="166"/>
      <c r="DK86" s="166"/>
      <c r="DL86" s="166"/>
      <c r="DM86" s="166"/>
      <c r="DN86" s="166"/>
      <c r="DO86" s="166"/>
      <c r="DP86" s="166"/>
      <c r="DQ86" s="166"/>
      <c r="DR86" s="166"/>
      <c r="DS86" s="166"/>
      <c r="DT86" s="166"/>
      <c r="DU86" s="166"/>
      <c r="DV86" s="166"/>
      <c r="DW86" s="166"/>
      <c r="DX86" s="166"/>
      <c r="DY86" s="166"/>
      <c r="DZ86" s="166"/>
      <c r="EA86" s="166"/>
      <c r="EB86" s="166"/>
      <c r="EC86" s="166"/>
      <c r="ED86" s="166"/>
      <c r="EE86" s="166"/>
      <c r="EF86" s="166"/>
      <c r="EG86" s="166"/>
      <c r="EH86" s="166"/>
      <c r="EI86" s="166"/>
      <c r="EJ86" s="166"/>
      <c r="EK86" s="166"/>
      <c r="EL86" s="166"/>
      <c r="EM86" s="166"/>
      <c r="EN86" s="166"/>
      <c r="EO86" s="166"/>
      <c r="EP86" s="166"/>
      <c r="EQ86" s="166"/>
      <c r="ER86" s="166"/>
      <c r="ES86" s="166"/>
      <c r="ET86" s="166"/>
      <c r="EU86" s="166"/>
      <c r="EV86" s="166"/>
      <c r="EW86" s="166"/>
      <c r="EX86" s="166"/>
      <c r="EY86" s="166"/>
      <c r="EZ86" s="166"/>
      <c r="FA86" s="166"/>
      <c r="FB86" s="166"/>
      <c r="FC86" s="166"/>
      <c r="FD86" s="166"/>
      <c r="FE86" s="166"/>
      <c r="FF86" s="166"/>
      <c r="FG86" s="166"/>
      <c r="FH86" s="166"/>
      <c r="FI86" s="166"/>
      <c r="FJ86" s="166"/>
      <c r="FK86" s="166"/>
      <c r="FL86" s="166"/>
      <c r="FM86" s="166"/>
      <c r="FN86" s="166"/>
      <c r="FO86" s="166"/>
      <c r="FP86" s="166"/>
      <c r="FQ86" s="166"/>
      <c r="FR86" s="166"/>
      <c r="FS86" s="166"/>
      <c r="FT86" s="166"/>
      <c r="FU86" s="166"/>
      <c r="FV86" s="166"/>
      <c r="FW86" s="166"/>
      <c r="FX86" s="166"/>
      <c r="FY86" s="166"/>
      <c r="FZ86" s="166"/>
      <c r="GA86" s="166"/>
      <c r="GB86" s="166"/>
      <c r="GC86" s="166"/>
      <c r="GD86" s="166"/>
      <c r="GE86" s="166"/>
      <c r="GF86" s="166"/>
      <c r="GG86" s="166"/>
      <c r="GH86" s="166"/>
      <c r="GI86" s="166"/>
      <c r="GJ86" s="166"/>
      <c r="GK86" s="166"/>
      <c r="GL86" s="166"/>
      <c r="GM86" s="166"/>
      <c r="GN86" s="166"/>
      <c r="GO86" s="166"/>
      <c r="GP86" s="166"/>
      <c r="GQ86" s="166"/>
      <c r="GR86" s="166"/>
      <c r="GS86" s="166"/>
      <c r="GT86" s="166"/>
      <c r="GU86" s="166"/>
      <c r="GV86" s="166"/>
      <c r="GW86" s="166"/>
      <c r="GX86" s="166"/>
      <c r="GY86" s="166"/>
      <c r="GZ86" s="166"/>
      <c r="HA86" s="166"/>
      <c r="HB86" s="166"/>
      <c r="HC86" s="166"/>
      <c r="HD86" s="166"/>
      <c r="HE86" s="166"/>
      <c r="HF86" s="166"/>
      <c r="HG86" s="166"/>
      <c r="HH86" s="166"/>
      <c r="HI86" s="166"/>
      <c r="HJ86" s="166"/>
      <c r="HK86" s="166"/>
      <c r="HL86" s="166"/>
      <c r="HM86" s="166"/>
      <c r="HN86" s="166"/>
      <c r="HO86" s="166"/>
      <c r="HP86" s="166"/>
      <c r="HQ86" s="166"/>
      <c r="HR86" s="166"/>
      <c r="HS86" s="166"/>
      <c r="HT86" s="166"/>
      <c r="HU86" s="166"/>
      <c r="HV86" s="166"/>
      <c r="HW86" s="166"/>
      <c r="HX86" s="166"/>
      <c r="HY86" s="166"/>
      <c r="HZ86" s="166"/>
      <c r="IA86" s="166"/>
      <c r="IB86" s="166"/>
      <c r="IC86" s="166"/>
      <c r="ID86" s="166"/>
      <c r="IE86" s="166"/>
      <c r="IF86" s="166"/>
      <c r="IG86" s="166"/>
      <c r="IH86" s="166"/>
      <c r="II86" s="166"/>
      <c r="IJ86" s="166"/>
      <c r="IK86" s="166"/>
      <c r="IL86" s="166"/>
      <c r="IM86" s="166"/>
      <c r="IN86" s="166"/>
      <c r="IO86" s="166"/>
      <c r="IP86" s="166"/>
      <c r="IQ86" s="166"/>
      <c r="IR86" s="166"/>
      <c r="IS86" s="166"/>
      <c r="IT86" s="166"/>
      <c r="IU86" s="166"/>
      <c r="IV86" s="166"/>
    </row>
    <row r="87" spans="1:256" x14ac:dyDescent="0.25">
      <c r="A87" s="325">
        <f>IF(Info!$J$3&gt;0,Info!$J$3+B87, )</f>
        <v>0</v>
      </c>
      <c r="B87" s="215">
        <v>76</v>
      </c>
      <c r="C87" s="299"/>
      <c r="D87" s="211"/>
      <c r="E87" s="294"/>
      <c r="F87" s="294"/>
      <c r="G87" s="211"/>
      <c r="H87" s="211"/>
      <c r="I87" s="211"/>
      <c r="J87" s="205"/>
      <c r="K87" s="38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  <c r="AL87" s="166"/>
      <c r="AM87" s="166"/>
      <c r="AN87" s="166"/>
      <c r="AO87" s="166"/>
      <c r="AP87" s="166"/>
      <c r="AQ87" s="166"/>
      <c r="AR87" s="166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  <c r="BK87" s="166"/>
      <c r="BL87" s="166"/>
      <c r="BM87" s="166"/>
      <c r="BN87" s="166"/>
      <c r="BO87" s="166"/>
      <c r="BP87" s="166"/>
      <c r="BQ87" s="166"/>
      <c r="BR87" s="166"/>
      <c r="BS87" s="166"/>
      <c r="BT87" s="166"/>
      <c r="BU87" s="166"/>
      <c r="BV87" s="166"/>
      <c r="BW87" s="166"/>
      <c r="BX87" s="166"/>
      <c r="BY87" s="166"/>
      <c r="BZ87" s="166"/>
      <c r="CA87" s="166"/>
      <c r="CB87" s="166"/>
      <c r="CC87" s="166"/>
      <c r="CD87" s="166"/>
      <c r="CE87" s="166"/>
      <c r="CF87" s="166"/>
      <c r="CG87" s="166"/>
      <c r="CH87" s="166"/>
      <c r="CI87" s="166"/>
      <c r="CJ87" s="166"/>
      <c r="CK87" s="166"/>
      <c r="CL87" s="166"/>
      <c r="CM87" s="166"/>
      <c r="CN87" s="166"/>
      <c r="CO87" s="166"/>
      <c r="CP87" s="166"/>
      <c r="CQ87" s="166"/>
      <c r="CR87" s="166"/>
      <c r="CS87" s="166"/>
      <c r="CT87" s="166"/>
      <c r="CU87" s="166"/>
      <c r="CV87" s="166"/>
      <c r="CW87" s="166"/>
      <c r="CX87" s="166"/>
      <c r="CY87" s="166"/>
      <c r="CZ87" s="166"/>
      <c r="DA87" s="166"/>
      <c r="DB87" s="166"/>
      <c r="DC87" s="166"/>
      <c r="DD87" s="166"/>
      <c r="DE87" s="166"/>
      <c r="DF87" s="166"/>
      <c r="DG87" s="166"/>
      <c r="DH87" s="166"/>
      <c r="DI87" s="166"/>
      <c r="DJ87" s="166"/>
      <c r="DK87" s="166"/>
      <c r="DL87" s="166"/>
      <c r="DM87" s="166"/>
      <c r="DN87" s="166"/>
      <c r="DO87" s="166"/>
      <c r="DP87" s="166"/>
      <c r="DQ87" s="166"/>
      <c r="DR87" s="166"/>
      <c r="DS87" s="166"/>
      <c r="DT87" s="166"/>
      <c r="DU87" s="166"/>
      <c r="DV87" s="166"/>
      <c r="DW87" s="166"/>
      <c r="DX87" s="166"/>
      <c r="DY87" s="166"/>
      <c r="DZ87" s="166"/>
      <c r="EA87" s="166"/>
      <c r="EB87" s="166"/>
      <c r="EC87" s="166"/>
      <c r="ED87" s="166"/>
      <c r="EE87" s="166"/>
      <c r="EF87" s="166"/>
      <c r="EG87" s="166"/>
      <c r="EH87" s="166"/>
      <c r="EI87" s="166"/>
      <c r="EJ87" s="166"/>
      <c r="EK87" s="166"/>
      <c r="EL87" s="166"/>
      <c r="EM87" s="166"/>
      <c r="EN87" s="166"/>
      <c r="EO87" s="166"/>
      <c r="EP87" s="166"/>
      <c r="EQ87" s="166"/>
      <c r="ER87" s="166"/>
      <c r="ES87" s="166"/>
      <c r="ET87" s="166"/>
      <c r="EU87" s="166"/>
      <c r="EV87" s="166"/>
      <c r="EW87" s="166"/>
      <c r="EX87" s="166"/>
      <c r="EY87" s="166"/>
      <c r="EZ87" s="166"/>
      <c r="FA87" s="166"/>
      <c r="FB87" s="166"/>
      <c r="FC87" s="166"/>
      <c r="FD87" s="166"/>
      <c r="FE87" s="166"/>
      <c r="FF87" s="166"/>
      <c r="FG87" s="166"/>
      <c r="FH87" s="166"/>
      <c r="FI87" s="166"/>
      <c r="FJ87" s="166"/>
      <c r="FK87" s="166"/>
      <c r="FL87" s="166"/>
      <c r="FM87" s="166"/>
      <c r="FN87" s="166"/>
      <c r="FO87" s="166"/>
      <c r="FP87" s="166"/>
      <c r="FQ87" s="166"/>
      <c r="FR87" s="166"/>
      <c r="FS87" s="166"/>
      <c r="FT87" s="166"/>
      <c r="FU87" s="166"/>
      <c r="FV87" s="166"/>
      <c r="FW87" s="166"/>
      <c r="FX87" s="166"/>
      <c r="FY87" s="166"/>
      <c r="FZ87" s="166"/>
      <c r="GA87" s="166"/>
      <c r="GB87" s="166"/>
      <c r="GC87" s="166"/>
      <c r="GD87" s="166"/>
      <c r="GE87" s="166"/>
      <c r="GF87" s="166"/>
      <c r="GG87" s="166"/>
      <c r="GH87" s="166"/>
      <c r="GI87" s="166"/>
      <c r="GJ87" s="166"/>
      <c r="GK87" s="166"/>
      <c r="GL87" s="166"/>
      <c r="GM87" s="166"/>
      <c r="GN87" s="166"/>
      <c r="GO87" s="166"/>
      <c r="GP87" s="166"/>
      <c r="GQ87" s="166"/>
      <c r="GR87" s="166"/>
      <c r="GS87" s="166"/>
      <c r="GT87" s="166"/>
      <c r="GU87" s="166"/>
      <c r="GV87" s="166"/>
      <c r="GW87" s="166"/>
      <c r="GX87" s="166"/>
      <c r="GY87" s="166"/>
      <c r="GZ87" s="166"/>
      <c r="HA87" s="166"/>
      <c r="HB87" s="166"/>
      <c r="HC87" s="166"/>
      <c r="HD87" s="166"/>
      <c r="HE87" s="166"/>
      <c r="HF87" s="166"/>
      <c r="HG87" s="166"/>
      <c r="HH87" s="166"/>
      <c r="HI87" s="166"/>
      <c r="HJ87" s="166"/>
      <c r="HK87" s="166"/>
      <c r="HL87" s="166"/>
      <c r="HM87" s="166"/>
      <c r="HN87" s="166"/>
      <c r="HO87" s="166"/>
      <c r="HP87" s="166"/>
      <c r="HQ87" s="166"/>
      <c r="HR87" s="166"/>
      <c r="HS87" s="166"/>
      <c r="HT87" s="166"/>
      <c r="HU87" s="166"/>
      <c r="HV87" s="166"/>
      <c r="HW87" s="166"/>
      <c r="HX87" s="166"/>
      <c r="HY87" s="166"/>
      <c r="HZ87" s="166"/>
      <c r="IA87" s="166"/>
      <c r="IB87" s="166"/>
      <c r="IC87" s="166"/>
      <c r="ID87" s="166"/>
      <c r="IE87" s="166"/>
      <c r="IF87" s="166"/>
      <c r="IG87" s="166"/>
      <c r="IH87" s="166"/>
      <c r="II87" s="166"/>
      <c r="IJ87" s="166"/>
      <c r="IK87" s="166"/>
      <c r="IL87" s="166"/>
      <c r="IM87" s="166"/>
      <c r="IN87" s="166"/>
      <c r="IO87" s="166"/>
      <c r="IP87" s="166"/>
      <c r="IQ87" s="166"/>
      <c r="IR87" s="166"/>
      <c r="IS87" s="166"/>
      <c r="IT87" s="166"/>
      <c r="IU87" s="166"/>
      <c r="IV87" s="166"/>
    </row>
    <row r="88" spans="1:256" x14ac:dyDescent="0.25">
      <c r="A88" s="325">
        <f>IF(Info!$J$3&gt;0,Info!$J$3+B88, )</f>
        <v>0</v>
      </c>
      <c r="B88" s="215">
        <v>77</v>
      </c>
      <c r="C88" s="299"/>
      <c r="D88" s="211"/>
      <c r="E88" s="294"/>
      <c r="F88" s="294"/>
      <c r="G88" s="211"/>
      <c r="H88" s="211"/>
      <c r="I88" s="211"/>
      <c r="J88" s="206"/>
      <c r="K88" s="38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  <c r="AL88" s="166"/>
      <c r="AM88" s="166"/>
      <c r="AN88" s="166"/>
      <c r="AO88" s="166"/>
      <c r="AP88" s="166"/>
      <c r="AQ88" s="166"/>
      <c r="AR88" s="166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  <c r="BK88" s="166"/>
      <c r="BL88" s="166"/>
      <c r="BM88" s="166"/>
      <c r="BN88" s="166"/>
      <c r="BO88" s="166"/>
      <c r="BP88" s="166"/>
      <c r="BQ88" s="166"/>
      <c r="BR88" s="166"/>
      <c r="BS88" s="166"/>
      <c r="BT88" s="166"/>
      <c r="BU88" s="166"/>
      <c r="BV88" s="166"/>
      <c r="BW88" s="166"/>
      <c r="BX88" s="166"/>
      <c r="BY88" s="166"/>
      <c r="BZ88" s="166"/>
      <c r="CA88" s="166"/>
      <c r="CB88" s="166"/>
      <c r="CC88" s="166"/>
      <c r="CD88" s="166"/>
      <c r="CE88" s="166"/>
      <c r="CF88" s="166"/>
      <c r="CG88" s="166"/>
      <c r="CH88" s="166"/>
      <c r="CI88" s="166"/>
      <c r="CJ88" s="166"/>
      <c r="CK88" s="166"/>
      <c r="CL88" s="166"/>
      <c r="CM88" s="166"/>
      <c r="CN88" s="166"/>
      <c r="CO88" s="166"/>
      <c r="CP88" s="166"/>
      <c r="CQ88" s="166"/>
      <c r="CR88" s="166"/>
      <c r="CS88" s="166"/>
      <c r="CT88" s="166"/>
      <c r="CU88" s="166"/>
      <c r="CV88" s="166"/>
      <c r="CW88" s="166"/>
      <c r="CX88" s="166"/>
      <c r="CY88" s="166"/>
      <c r="CZ88" s="166"/>
      <c r="DA88" s="166"/>
      <c r="DB88" s="166"/>
      <c r="DC88" s="166"/>
      <c r="DD88" s="166"/>
      <c r="DE88" s="166"/>
      <c r="DF88" s="166"/>
      <c r="DG88" s="166"/>
      <c r="DH88" s="166"/>
      <c r="DI88" s="166"/>
      <c r="DJ88" s="166"/>
      <c r="DK88" s="166"/>
      <c r="DL88" s="166"/>
      <c r="DM88" s="166"/>
      <c r="DN88" s="166"/>
      <c r="DO88" s="166"/>
      <c r="DP88" s="166"/>
      <c r="DQ88" s="166"/>
      <c r="DR88" s="166"/>
      <c r="DS88" s="166"/>
      <c r="DT88" s="166"/>
      <c r="DU88" s="166"/>
      <c r="DV88" s="166"/>
      <c r="DW88" s="166"/>
      <c r="DX88" s="166"/>
      <c r="DY88" s="166"/>
      <c r="DZ88" s="166"/>
      <c r="EA88" s="166"/>
      <c r="EB88" s="166"/>
      <c r="EC88" s="166"/>
      <c r="ED88" s="166"/>
      <c r="EE88" s="166"/>
      <c r="EF88" s="166"/>
      <c r="EG88" s="166"/>
      <c r="EH88" s="166"/>
      <c r="EI88" s="166"/>
      <c r="EJ88" s="166"/>
      <c r="EK88" s="166"/>
      <c r="EL88" s="166"/>
      <c r="EM88" s="166"/>
      <c r="EN88" s="166"/>
      <c r="EO88" s="166"/>
      <c r="EP88" s="166"/>
      <c r="EQ88" s="166"/>
      <c r="ER88" s="166"/>
      <c r="ES88" s="166"/>
      <c r="ET88" s="166"/>
      <c r="EU88" s="166"/>
      <c r="EV88" s="166"/>
      <c r="EW88" s="166"/>
      <c r="EX88" s="166"/>
      <c r="EY88" s="166"/>
      <c r="EZ88" s="166"/>
      <c r="FA88" s="166"/>
      <c r="FB88" s="166"/>
      <c r="FC88" s="166"/>
      <c r="FD88" s="166"/>
      <c r="FE88" s="166"/>
      <c r="FF88" s="166"/>
      <c r="FG88" s="166"/>
      <c r="FH88" s="166"/>
      <c r="FI88" s="166"/>
      <c r="FJ88" s="166"/>
      <c r="FK88" s="166"/>
      <c r="FL88" s="166"/>
      <c r="FM88" s="166"/>
      <c r="FN88" s="166"/>
      <c r="FO88" s="166"/>
      <c r="FP88" s="166"/>
      <c r="FQ88" s="166"/>
      <c r="FR88" s="166"/>
      <c r="FS88" s="166"/>
      <c r="FT88" s="166"/>
      <c r="FU88" s="166"/>
      <c r="FV88" s="166"/>
      <c r="FW88" s="166"/>
      <c r="FX88" s="166"/>
      <c r="FY88" s="166"/>
      <c r="FZ88" s="166"/>
      <c r="GA88" s="166"/>
      <c r="GB88" s="166"/>
      <c r="GC88" s="166"/>
      <c r="GD88" s="166"/>
      <c r="GE88" s="166"/>
      <c r="GF88" s="166"/>
      <c r="GG88" s="166"/>
      <c r="GH88" s="166"/>
      <c r="GI88" s="166"/>
      <c r="GJ88" s="166"/>
      <c r="GK88" s="166"/>
      <c r="GL88" s="166"/>
      <c r="GM88" s="166"/>
      <c r="GN88" s="166"/>
      <c r="GO88" s="166"/>
      <c r="GP88" s="166"/>
      <c r="GQ88" s="166"/>
      <c r="GR88" s="166"/>
      <c r="GS88" s="166"/>
      <c r="GT88" s="166"/>
      <c r="GU88" s="166"/>
      <c r="GV88" s="166"/>
      <c r="GW88" s="166"/>
      <c r="GX88" s="166"/>
      <c r="GY88" s="166"/>
      <c r="GZ88" s="166"/>
      <c r="HA88" s="166"/>
      <c r="HB88" s="166"/>
      <c r="HC88" s="166"/>
      <c r="HD88" s="166"/>
      <c r="HE88" s="166"/>
      <c r="HF88" s="166"/>
      <c r="HG88" s="166"/>
      <c r="HH88" s="166"/>
      <c r="HI88" s="166"/>
      <c r="HJ88" s="166"/>
      <c r="HK88" s="166"/>
      <c r="HL88" s="166"/>
      <c r="HM88" s="166"/>
      <c r="HN88" s="166"/>
      <c r="HO88" s="166"/>
      <c r="HP88" s="166"/>
      <c r="HQ88" s="166"/>
      <c r="HR88" s="166"/>
      <c r="HS88" s="166"/>
      <c r="HT88" s="166"/>
      <c r="HU88" s="166"/>
      <c r="HV88" s="166"/>
      <c r="HW88" s="166"/>
      <c r="HX88" s="166"/>
      <c r="HY88" s="166"/>
      <c r="HZ88" s="166"/>
      <c r="IA88" s="166"/>
      <c r="IB88" s="166"/>
      <c r="IC88" s="166"/>
      <c r="ID88" s="166"/>
      <c r="IE88" s="166"/>
      <c r="IF88" s="166"/>
      <c r="IG88" s="166"/>
      <c r="IH88" s="166"/>
      <c r="II88" s="166"/>
      <c r="IJ88" s="166"/>
      <c r="IK88" s="166"/>
      <c r="IL88" s="166"/>
      <c r="IM88" s="166"/>
      <c r="IN88" s="166"/>
      <c r="IO88" s="166"/>
      <c r="IP88" s="166"/>
      <c r="IQ88" s="166"/>
      <c r="IR88" s="166"/>
      <c r="IS88" s="166"/>
      <c r="IT88" s="166"/>
      <c r="IU88" s="166"/>
      <c r="IV88" s="166"/>
    </row>
    <row r="89" spans="1:256" x14ac:dyDescent="0.25">
      <c r="A89" s="326">
        <f>A88</f>
        <v>0</v>
      </c>
      <c r="B89" s="207" t="str">
        <f>Traducción!$B$24&amp;" 11"</f>
        <v>Sem. 11</v>
      </c>
      <c r="C89" s="301">
        <f>SUM(C82:C88)</f>
        <v>0</v>
      </c>
      <c r="D89" s="288">
        <f t="shared" ref="D89" si="24">IFERROR(AVERAGE(D82:D88), )</f>
        <v>0</v>
      </c>
      <c r="E89" s="296">
        <f t="shared" ref="E89:F89" si="25">SUM(E82:E88)</f>
        <v>0</v>
      </c>
      <c r="F89" s="296">
        <f t="shared" si="25"/>
        <v>0</v>
      </c>
      <c r="G89" s="288">
        <f t="shared" ref="G89:I89" si="26">IFERROR(AVERAGE(G82:G88), )</f>
        <v>0</v>
      </c>
      <c r="H89" s="210">
        <f t="shared" si="26"/>
        <v>0</v>
      </c>
      <c r="I89" s="210">
        <f t="shared" si="26"/>
        <v>0</v>
      </c>
      <c r="J89" s="202"/>
      <c r="K89" s="38"/>
      <c r="L89" s="166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  <c r="AH89" s="166"/>
      <c r="AI89" s="166"/>
      <c r="AJ89" s="166"/>
      <c r="AK89" s="166"/>
      <c r="AL89" s="166"/>
      <c r="AM89" s="166"/>
      <c r="AN89" s="166"/>
      <c r="AO89" s="166"/>
      <c r="AP89" s="166"/>
      <c r="AQ89" s="166"/>
      <c r="AR89" s="166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  <c r="BK89" s="166"/>
      <c r="BL89" s="166"/>
      <c r="BM89" s="166"/>
      <c r="BN89" s="166"/>
      <c r="BO89" s="166"/>
      <c r="BP89" s="166"/>
      <c r="BQ89" s="166"/>
      <c r="BR89" s="166"/>
      <c r="BS89" s="166"/>
      <c r="BT89" s="166"/>
      <c r="BU89" s="166"/>
      <c r="BV89" s="166"/>
      <c r="BW89" s="166"/>
      <c r="BX89" s="166"/>
      <c r="BY89" s="166"/>
      <c r="BZ89" s="166"/>
      <c r="CA89" s="166"/>
      <c r="CB89" s="166"/>
      <c r="CC89" s="166"/>
      <c r="CD89" s="166"/>
      <c r="CE89" s="166"/>
      <c r="CF89" s="166"/>
      <c r="CG89" s="166"/>
      <c r="CH89" s="166"/>
      <c r="CI89" s="166"/>
      <c r="CJ89" s="166"/>
      <c r="CK89" s="166"/>
      <c r="CL89" s="166"/>
      <c r="CM89" s="166"/>
      <c r="CN89" s="166"/>
      <c r="CO89" s="166"/>
      <c r="CP89" s="166"/>
      <c r="CQ89" s="166"/>
      <c r="CR89" s="166"/>
      <c r="CS89" s="166"/>
      <c r="CT89" s="166"/>
      <c r="CU89" s="166"/>
      <c r="CV89" s="166"/>
      <c r="CW89" s="166"/>
      <c r="CX89" s="166"/>
      <c r="CY89" s="166"/>
      <c r="CZ89" s="166"/>
      <c r="DA89" s="166"/>
      <c r="DB89" s="166"/>
      <c r="DC89" s="166"/>
      <c r="DD89" s="166"/>
      <c r="DE89" s="166"/>
      <c r="DF89" s="166"/>
      <c r="DG89" s="166"/>
      <c r="DH89" s="166"/>
      <c r="DI89" s="166"/>
      <c r="DJ89" s="166"/>
      <c r="DK89" s="166"/>
      <c r="DL89" s="166"/>
      <c r="DM89" s="166"/>
      <c r="DN89" s="166"/>
      <c r="DO89" s="166"/>
      <c r="DP89" s="166"/>
      <c r="DQ89" s="166"/>
      <c r="DR89" s="166"/>
      <c r="DS89" s="166"/>
      <c r="DT89" s="166"/>
      <c r="DU89" s="166"/>
      <c r="DV89" s="166"/>
      <c r="DW89" s="166"/>
      <c r="DX89" s="166"/>
      <c r="DY89" s="166"/>
      <c r="DZ89" s="166"/>
      <c r="EA89" s="166"/>
      <c r="EB89" s="166"/>
      <c r="EC89" s="166"/>
      <c r="ED89" s="166"/>
      <c r="EE89" s="166"/>
      <c r="EF89" s="166"/>
      <c r="EG89" s="166"/>
      <c r="EH89" s="166"/>
      <c r="EI89" s="166"/>
      <c r="EJ89" s="166"/>
      <c r="EK89" s="166"/>
      <c r="EL89" s="166"/>
      <c r="EM89" s="166"/>
      <c r="EN89" s="166"/>
      <c r="EO89" s="166"/>
      <c r="EP89" s="166"/>
      <c r="EQ89" s="166"/>
      <c r="ER89" s="166"/>
      <c r="ES89" s="166"/>
      <c r="ET89" s="166"/>
      <c r="EU89" s="166"/>
      <c r="EV89" s="166"/>
      <c r="EW89" s="166"/>
      <c r="EX89" s="166"/>
      <c r="EY89" s="166"/>
      <c r="EZ89" s="166"/>
      <c r="FA89" s="166"/>
      <c r="FB89" s="166"/>
      <c r="FC89" s="166"/>
      <c r="FD89" s="166"/>
      <c r="FE89" s="166"/>
      <c r="FF89" s="166"/>
      <c r="FG89" s="166"/>
      <c r="FH89" s="166"/>
      <c r="FI89" s="166"/>
      <c r="FJ89" s="166"/>
      <c r="FK89" s="166"/>
      <c r="FL89" s="166"/>
      <c r="FM89" s="166"/>
      <c r="FN89" s="166"/>
      <c r="FO89" s="166"/>
      <c r="FP89" s="166"/>
      <c r="FQ89" s="166"/>
      <c r="FR89" s="166"/>
      <c r="FS89" s="166"/>
      <c r="FT89" s="166"/>
      <c r="FU89" s="166"/>
      <c r="FV89" s="166"/>
      <c r="FW89" s="166"/>
      <c r="FX89" s="166"/>
      <c r="FY89" s="166"/>
      <c r="FZ89" s="166"/>
      <c r="GA89" s="166"/>
      <c r="GB89" s="166"/>
      <c r="GC89" s="166"/>
      <c r="GD89" s="166"/>
      <c r="GE89" s="166"/>
      <c r="GF89" s="166"/>
      <c r="GG89" s="166"/>
      <c r="GH89" s="166"/>
      <c r="GI89" s="166"/>
      <c r="GJ89" s="166"/>
      <c r="GK89" s="166"/>
      <c r="GL89" s="166"/>
      <c r="GM89" s="166"/>
      <c r="GN89" s="166"/>
      <c r="GO89" s="166"/>
      <c r="GP89" s="166"/>
      <c r="GQ89" s="166"/>
      <c r="GR89" s="166"/>
      <c r="GS89" s="166"/>
      <c r="GT89" s="166"/>
      <c r="GU89" s="166"/>
      <c r="GV89" s="166"/>
      <c r="GW89" s="166"/>
      <c r="GX89" s="166"/>
      <c r="GY89" s="166"/>
      <c r="GZ89" s="166"/>
      <c r="HA89" s="166"/>
      <c r="HB89" s="166"/>
      <c r="HC89" s="166"/>
      <c r="HD89" s="166"/>
      <c r="HE89" s="166"/>
      <c r="HF89" s="166"/>
      <c r="HG89" s="166"/>
      <c r="HH89" s="166"/>
      <c r="HI89" s="166"/>
      <c r="HJ89" s="166"/>
      <c r="HK89" s="166"/>
      <c r="HL89" s="166"/>
      <c r="HM89" s="166"/>
      <c r="HN89" s="166"/>
      <c r="HO89" s="166"/>
      <c r="HP89" s="166"/>
      <c r="HQ89" s="166"/>
      <c r="HR89" s="166"/>
      <c r="HS89" s="166"/>
      <c r="HT89" s="166"/>
      <c r="HU89" s="166"/>
      <c r="HV89" s="166"/>
      <c r="HW89" s="166"/>
      <c r="HX89" s="166"/>
      <c r="HY89" s="166"/>
      <c r="HZ89" s="166"/>
      <c r="IA89" s="166"/>
      <c r="IB89" s="166"/>
      <c r="IC89" s="166"/>
      <c r="ID89" s="166"/>
      <c r="IE89" s="166"/>
      <c r="IF89" s="166"/>
      <c r="IG89" s="166"/>
      <c r="IH89" s="166"/>
      <c r="II89" s="166"/>
      <c r="IJ89" s="166"/>
      <c r="IK89" s="166"/>
      <c r="IL89" s="166"/>
      <c r="IM89" s="166"/>
      <c r="IN89" s="166"/>
      <c r="IO89" s="166"/>
      <c r="IP89" s="166"/>
      <c r="IQ89" s="166"/>
      <c r="IR89" s="166"/>
      <c r="IS89" s="166"/>
      <c r="IT89" s="166"/>
      <c r="IU89" s="166"/>
      <c r="IV89" s="166"/>
    </row>
    <row r="90" spans="1:256" x14ac:dyDescent="0.25">
      <c r="A90" s="325">
        <f>IF(Info!$J$3&gt;0,Info!$J$3+B90, )</f>
        <v>0</v>
      </c>
      <c r="B90" s="215">
        <v>78</v>
      </c>
      <c r="C90" s="299"/>
      <c r="D90" s="211"/>
      <c r="E90" s="294"/>
      <c r="F90" s="294"/>
      <c r="G90" s="211"/>
      <c r="H90" s="211"/>
      <c r="I90" s="211"/>
      <c r="J90" s="204"/>
      <c r="K90" s="38"/>
      <c r="L90" s="166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  <c r="AH90" s="166"/>
      <c r="AI90" s="166"/>
      <c r="AJ90" s="166"/>
      <c r="AK90" s="166"/>
      <c r="AL90" s="166"/>
      <c r="AM90" s="166"/>
      <c r="AN90" s="166"/>
      <c r="AO90" s="166"/>
      <c r="AP90" s="166"/>
      <c r="AQ90" s="166"/>
      <c r="AR90" s="166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  <c r="BK90" s="166"/>
      <c r="BL90" s="166"/>
      <c r="BM90" s="166"/>
      <c r="BN90" s="166"/>
      <c r="BO90" s="166"/>
      <c r="BP90" s="166"/>
      <c r="BQ90" s="166"/>
      <c r="BR90" s="166"/>
      <c r="BS90" s="166"/>
      <c r="BT90" s="166"/>
      <c r="BU90" s="166"/>
      <c r="BV90" s="166"/>
      <c r="BW90" s="166"/>
      <c r="BX90" s="166"/>
      <c r="BY90" s="166"/>
      <c r="BZ90" s="166"/>
      <c r="CA90" s="166"/>
      <c r="CB90" s="166"/>
      <c r="CC90" s="166"/>
      <c r="CD90" s="166"/>
      <c r="CE90" s="166"/>
      <c r="CF90" s="166"/>
      <c r="CG90" s="166"/>
      <c r="CH90" s="166"/>
      <c r="CI90" s="166"/>
      <c r="CJ90" s="166"/>
      <c r="CK90" s="166"/>
      <c r="CL90" s="166"/>
      <c r="CM90" s="166"/>
      <c r="CN90" s="166"/>
      <c r="CO90" s="166"/>
      <c r="CP90" s="166"/>
      <c r="CQ90" s="166"/>
      <c r="CR90" s="166"/>
      <c r="CS90" s="166"/>
      <c r="CT90" s="166"/>
      <c r="CU90" s="166"/>
      <c r="CV90" s="166"/>
      <c r="CW90" s="166"/>
      <c r="CX90" s="166"/>
      <c r="CY90" s="166"/>
      <c r="CZ90" s="166"/>
      <c r="DA90" s="166"/>
      <c r="DB90" s="166"/>
      <c r="DC90" s="166"/>
      <c r="DD90" s="166"/>
      <c r="DE90" s="166"/>
      <c r="DF90" s="166"/>
      <c r="DG90" s="166"/>
      <c r="DH90" s="166"/>
      <c r="DI90" s="166"/>
      <c r="DJ90" s="166"/>
      <c r="DK90" s="166"/>
      <c r="DL90" s="166"/>
      <c r="DM90" s="166"/>
      <c r="DN90" s="166"/>
      <c r="DO90" s="166"/>
      <c r="DP90" s="166"/>
      <c r="DQ90" s="166"/>
      <c r="DR90" s="166"/>
      <c r="DS90" s="166"/>
      <c r="DT90" s="166"/>
      <c r="DU90" s="166"/>
      <c r="DV90" s="166"/>
      <c r="DW90" s="166"/>
      <c r="DX90" s="166"/>
      <c r="DY90" s="166"/>
      <c r="DZ90" s="166"/>
      <c r="EA90" s="166"/>
      <c r="EB90" s="166"/>
      <c r="EC90" s="166"/>
      <c r="ED90" s="166"/>
      <c r="EE90" s="166"/>
      <c r="EF90" s="166"/>
      <c r="EG90" s="166"/>
      <c r="EH90" s="166"/>
      <c r="EI90" s="166"/>
      <c r="EJ90" s="166"/>
      <c r="EK90" s="166"/>
      <c r="EL90" s="166"/>
      <c r="EM90" s="166"/>
      <c r="EN90" s="166"/>
      <c r="EO90" s="166"/>
      <c r="EP90" s="166"/>
      <c r="EQ90" s="166"/>
      <c r="ER90" s="166"/>
      <c r="ES90" s="166"/>
      <c r="ET90" s="166"/>
      <c r="EU90" s="166"/>
      <c r="EV90" s="166"/>
      <c r="EW90" s="166"/>
      <c r="EX90" s="166"/>
      <c r="EY90" s="166"/>
      <c r="EZ90" s="166"/>
      <c r="FA90" s="166"/>
      <c r="FB90" s="166"/>
      <c r="FC90" s="166"/>
      <c r="FD90" s="166"/>
      <c r="FE90" s="166"/>
      <c r="FF90" s="166"/>
      <c r="FG90" s="166"/>
      <c r="FH90" s="166"/>
      <c r="FI90" s="166"/>
      <c r="FJ90" s="166"/>
      <c r="FK90" s="166"/>
      <c r="FL90" s="166"/>
      <c r="FM90" s="166"/>
      <c r="FN90" s="166"/>
      <c r="FO90" s="166"/>
      <c r="FP90" s="166"/>
      <c r="FQ90" s="166"/>
      <c r="FR90" s="166"/>
      <c r="FS90" s="166"/>
      <c r="FT90" s="166"/>
      <c r="FU90" s="166"/>
      <c r="FV90" s="166"/>
      <c r="FW90" s="166"/>
      <c r="FX90" s="166"/>
      <c r="FY90" s="166"/>
      <c r="FZ90" s="166"/>
      <c r="GA90" s="166"/>
      <c r="GB90" s="166"/>
      <c r="GC90" s="166"/>
      <c r="GD90" s="166"/>
      <c r="GE90" s="166"/>
      <c r="GF90" s="166"/>
      <c r="GG90" s="166"/>
      <c r="GH90" s="166"/>
      <c r="GI90" s="166"/>
      <c r="GJ90" s="166"/>
      <c r="GK90" s="166"/>
      <c r="GL90" s="166"/>
      <c r="GM90" s="166"/>
      <c r="GN90" s="166"/>
      <c r="GO90" s="166"/>
      <c r="GP90" s="166"/>
      <c r="GQ90" s="166"/>
      <c r="GR90" s="166"/>
      <c r="GS90" s="166"/>
      <c r="GT90" s="166"/>
      <c r="GU90" s="166"/>
      <c r="GV90" s="166"/>
      <c r="GW90" s="166"/>
      <c r="GX90" s="166"/>
      <c r="GY90" s="166"/>
      <c r="GZ90" s="166"/>
      <c r="HA90" s="166"/>
      <c r="HB90" s="166"/>
      <c r="HC90" s="166"/>
      <c r="HD90" s="166"/>
      <c r="HE90" s="166"/>
      <c r="HF90" s="166"/>
      <c r="HG90" s="166"/>
      <c r="HH90" s="166"/>
      <c r="HI90" s="166"/>
      <c r="HJ90" s="166"/>
      <c r="HK90" s="166"/>
      <c r="HL90" s="166"/>
      <c r="HM90" s="166"/>
      <c r="HN90" s="166"/>
      <c r="HO90" s="166"/>
      <c r="HP90" s="166"/>
      <c r="HQ90" s="166"/>
      <c r="HR90" s="166"/>
      <c r="HS90" s="166"/>
      <c r="HT90" s="166"/>
      <c r="HU90" s="166"/>
      <c r="HV90" s="166"/>
      <c r="HW90" s="166"/>
      <c r="HX90" s="166"/>
      <c r="HY90" s="166"/>
      <c r="HZ90" s="166"/>
      <c r="IA90" s="166"/>
      <c r="IB90" s="166"/>
      <c r="IC90" s="166"/>
      <c r="ID90" s="166"/>
      <c r="IE90" s="166"/>
      <c r="IF90" s="166"/>
      <c r="IG90" s="166"/>
      <c r="IH90" s="166"/>
      <c r="II90" s="166"/>
      <c r="IJ90" s="166"/>
      <c r="IK90" s="166"/>
      <c r="IL90" s="166"/>
      <c r="IM90" s="166"/>
      <c r="IN90" s="166"/>
      <c r="IO90" s="166"/>
      <c r="IP90" s="166"/>
      <c r="IQ90" s="166"/>
      <c r="IR90" s="166"/>
      <c r="IS90" s="166"/>
      <c r="IT90" s="166"/>
      <c r="IU90" s="166"/>
      <c r="IV90" s="166"/>
    </row>
    <row r="91" spans="1:256" x14ac:dyDescent="0.25">
      <c r="A91" s="325">
        <f>IF(Info!$J$3&gt;0,Info!$J$3+B91, )</f>
        <v>0</v>
      </c>
      <c r="B91" s="215">
        <v>79</v>
      </c>
      <c r="C91" s="299"/>
      <c r="D91" s="211"/>
      <c r="E91" s="294"/>
      <c r="F91" s="294"/>
      <c r="G91" s="211"/>
      <c r="H91" s="211"/>
      <c r="I91" s="211"/>
      <c r="J91" s="205"/>
      <c r="K91" s="38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  <c r="AR91" s="166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  <c r="BK91" s="166"/>
      <c r="BL91" s="166"/>
      <c r="BM91" s="166"/>
      <c r="BN91" s="166"/>
      <c r="BO91" s="166"/>
      <c r="BP91" s="166"/>
      <c r="BQ91" s="166"/>
      <c r="BR91" s="166"/>
      <c r="BS91" s="166"/>
      <c r="BT91" s="166"/>
      <c r="BU91" s="166"/>
      <c r="BV91" s="166"/>
      <c r="BW91" s="166"/>
      <c r="BX91" s="166"/>
      <c r="BY91" s="166"/>
      <c r="BZ91" s="166"/>
      <c r="CA91" s="166"/>
      <c r="CB91" s="166"/>
      <c r="CC91" s="166"/>
      <c r="CD91" s="166"/>
      <c r="CE91" s="166"/>
      <c r="CF91" s="166"/>
      <c r="CG91" s="166"/>
      <c r="CH91" s="166"/>
      <c r="CI91" s="166"/>
      <c r="CJ91" s="166"/>
      <c r="CK91" s="166"/>
      <c r="CL91" s="166"/>
      <c r="CM91" s="166"/>
      <c r="CN91" s="166"/>
      <c r="CO91" s="166"/>
      <c r="CP91" s="166"/>
      <c r="CQ91" s="166"/>
      <c r="CR91" s="166"/>
      <c r="CS91" s="166"/>
      <c r="CT91" s="166"/>
      <c r="CU91" s="166"/>
      <c r="CV91" s="166"/>
      <c r="CW91" s="166"/>
      <c r="CX91" s="166"/>
      <c r="CY91" s="166"/>
      <c r="CZ91" s="166"/>
      <c r="DA91" s="166"/>
      <c r="DB91" s="166"/>
      <c r="DC91" s="166"/>
      <c r="DD91" s="166"/>
      <c r="DE91" s="166"/>
      <c r="DF91" s="166"/>
      <c r="DG91" s="166"/>
      <c r="DH91" s="166"/>
      <c r="DI91" s="166"/>
      <c r="DJ91" s="166"/>
      <c r="DK91" s="166"/>
      <c r="DL91" s="166"/>
      <c r="DM91" s="166"/>
      <c r="DN91" s="166"/>
      <c r="DO91" s="166"/>
      <c r="DP91" s="166"/>
      <c r="DQ91" s="166"/>
      <c r="DR91" s="166"/>
      <c r="DS91" s="166"/>
      <c r="DT91" s="166"/>
      <c r="DU91" s="166"/>
      <c r="DV91" s="166"/>
      <c r="DW91" s="166"/>
      <c r="DX91" s="166"/>
      <c r="DY91" s="166"/>
      <c r="DZ91" s="166"/>
      <c r="EA91" s="166"/>
      <c r="EB91" s="166"/>
      <c r="EC91" s="166"/>
      <c r="ED91" s="166"/>
      <c r="EE91" s="166"/>
      <c r="EF91" s="166"/>
      <c r="EG91" s="166"/>
      <c r="EH91" s="166"/>
      <c r="EI91" s="166"/>
      <c r="EJ91" s="166"/>
      <c r="EK91" s="166"/>
      <c r="EL91" s="166"/>
      <c r="EM91" s="166"/>
      <c r="EN91" s="166"/>
      <c r="EO91" s="166"/>
      <c r="EP91" s="166"/>
      <c r="EQ91" s="166"/>
      <c r="ER91" s="166"/>
      <c r="ES91" s="166"/>
      <c r="ET91" s="166"/>
      <c r="EU91" s="166"/>
      <c r="EV91" s="166"/>
      <c r="EW91" s="166"/>
      <c r="EX91" s="166"/>
      <c r="EY91" s="166"/>
      <c r="EZ91" s="166"/>
      <c r="FA91" s="166"/>
      <c r="FB91" s="166"/>
      <c r="FC91" s="166"/>
      <c r="FD91" s="166"/>
      <c r="FE91" s="166"/>
      <c r="FF91" s="166"/>
      <c r="FG91" s="166"/>
      <c r="FH91" s="166"/>
      <c r="FI91" s="166"/>
      <c r="FJ91" s="166"/>
      <c r="FK91" s="166"/>
      <c r="FL91" s="166"/>
      <c r="FM91" s="166"/>
      <c r="FN91" s="166"/>
      <c r="FO91" s="166"/>
      <c r="FP91" s="166"/>
      <c r="FQ91" s="166"/>
      <c r="FR91" s="166"/>
      <c r="FS91" s="166"/>
      <c r="FT91" s="166"/>
      <c r="FU91" s="166"/>
      <c r="FV91" s="166"/>
      <c r="FW91" s="166"/>
      <c r="FX91" s="166"/>
      <c r="FY91" s="166"/>
      <c r="FZ91" s="166"/>
      <c r="GA91" s="166"/>
      <c r="GB91" s="166"/>
      <c r="GC91" s="166"/>
      <c r="GD91" s="166"/>
      <c r="GE91" s="166"/>
      <c r="GF91" s="166"/>
      <c r="GG91" s="166"/>
      <c r="GH91" s="166"/>
      <c r="GI91" s="166"/>
      <c r="GJ91" s="166"/>
      <c r="GK91" s="166"/>
      <c r="GL91" s="166"/>
      <c r="GM91" s="166"/>
      <c r="GN91" s="166"/>
      <c r="GO91" s="166"/>
      <c r="GP91" s="166"/>
      <c r="GQ91" s="166"/>
      <c r="GR91" s="166"/>
      <c r="GS91" s="166"/>
      <c r="GT91" s="166"/>
      <c r="GU91" s="166"/>
      <c r="GV91" s="166"/>
      <c r="GW91" s="166"/>
      <c r="GX91" s="166"/>
      <c r="GY91" s="166"/>
      <c r="GZ91" s="166"/>
      <c r="HA91" s="166"/>
      <c r="HB91" s="166"/>
      <c r="HC91" s="166"/>
      <c r="HD91" s="166"/>
      <c r="HE91" s="166"/>
      <c r="HF91" s="166"/>
      <c r="HG91" s="166"/>
      <c r="HH91" s="166"/>
      <c r="HI91" s="166"/>
      <c r="HJ91" s="166"/>
      <c r="HK91" s="166"/>
      <c r="HL91" s="166"/>
      <c r="HM91" s="166"/>
      <c r="HN91" s="166"/>
      <c r="HO91" s="166"/>
      <c r="HP91" s="166"/>
      <c r="HQ91" s="166"/>
      <c r="HR91" s="166"/>
      <c r="HS91" s="166"/>
      <c r="HT91" s="166"/>
      <c r="HU91" s="166"/>
      <c r="HV91" s="166"/>
      <c r="HW91" s="166"/>
      <c r="HX91" s="166"/>
      <c r="HY91" s="166"/>
      <c r="HZ91" s="166"/>
      <c r="IA91" s="166"/>
      <c r="IB91" s="166"/>
      <c r="IC91" s="166"/>
      <c r="ID91" s="166"/>
      <c r="IE91" s="166"/>
      <c r="IF91" s="166"/>
      <c r="IG91" s="166"/>
      <c r="IH91" s="166"/>
      <c r="II91" s="166"/>
      <c r="IJ91" s="166"/>
      <c r="IK91" s="166"/>
      <c r="IL91" s="166"/>
      <c r="IM91" s="166"/>
      <c r="IN91" s="166"/>
      <c r="IO91" s="166"/>
      <c r="IP91" s="166"/>
      <c r="IQ91" s="166"/>
      <c r="IR91" s="166"/>
      <c r="IS91" s="166"/>
      <c r="IT91" s="166"/>
      <c r="IU91" s="166"/>
      <c r="IV91" s="166"/>
    </row>
    <row r="92" spans="1:256" x14ac:dyDescent="0.25">
      <c r="A92" s="325">
        <f>IF(Info!$J$3&gt;0,Info!$J$3+B92, )</f>
        <v>0</v>
      </c>
      <c r="B92" s="215">
        <v>80</v>
      </c>
      <c r="C92" s="299"/>
      <c r="D92" s="211"/>
      <c r="E92" s="294"/>
      <c r="F92" s="294"/>
      <c r="G92" s="211"/>
      <c r="H92" s="211"/>
      <c r="I92" s="211"/>
      <c r="J92" s="205"/>
      <c r="K92" s="38"/>
      <c r="L92" s="166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  <c r="AL92" s="166"/>
      <c r="AM92" s="166"/>
      <c r="AN92" s="166"/>
      <c r="AO92" s="166"/>
      <c r="AP92" s="166"/>
      <c r="AQ92" s="166"/>
      <c r="AR92" s="166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  <c r="BK92" s="166"/>
      <c r="BL92" s="166"/>
      <c r="BM92" s="166"/>
      <c r="BN92" s="166"/>
      <c r="BO92" s="166"/>
      <c r="BP92" s="166"/>
      <c r="BQ92" s="166"/>
      <c r="BR92" s="166"/>
      <c r="BS92" s="166"/>
      <c r="BT92" s="166"/>
      <c r="BU92" s="166"/>
      <c r="BV92" s="166"/>
      <c r="BW92" s="166"/>
      <c r="BX92" s="166"/>
      <c r="BY92" s="166"/>
      <c r="BZ92" s="166"/>
      <c r="CA92" s="166"/>
      <c r="CB92" s="166"/>
      <c r="CC92" s="166"/>
      <c r="CD92" s="166"/>
      <c r="CE92" s="166"/>
      <c r="CF92" s="166"/>
      <c r="CG92" s="166"/>
      <c r="CH92" s="166"/>
      <c r="CI92" s="166"/>
      <c r="CJ92" s="166"/>
      <c r="CK92" s="166"/>
      <c r="CL92" s="166"/>
      <c r="CM92" s="166"/>
      <c r="CN92" s="166"/>
      <c r="CO92" s="166"/>
      <c r="CP92" s="166"/>
      <c r="CQ92" s="166"/>
      <c r="CR92" s="166"/>
      <c r="CS92" s="166"/>
      <c r="CT92" s="166"/>
      <c r="CU92" s="166"/>
      <c r="CV92" s="166"/>
      <c r="CW92" s="166"/>
      <c r="CX92" s="166"/>
      <c r="CY92" s="166"/>
      <c r="CZ92" s="166"/>
      <c r="DA92" s="166"/>
      <c r="DB92" s="166"/>
      <c r="DC92" s="166"/>
      <c r="DD92" s="166"/>
      <c r="DE92" s="166"/>
      <c r="DF92" s="166"/>
      <c r="DG92" s="166"/>
      <c r="DH92" s="166"/>
      <c r="DI92" s="166"/>
      <c r="DJ92" s="166"/>
      <c r="DK92" s="166"/>
      <c r="DL92" s="166"/>
      <c r="DM92" s="166"/>
      <c r="DN92" s="166"/>
      <c r="DO92" s="166"/>
      <c r="DP92" s="166"/>
      <c r="DQ92" s="166"/>
      <c r="DR92" s="166"/>
      <c r="DS92" s="166"/>
      <c r="DT92" s="166"/>
      <c r="DU92" s="166"/>
      <c r="DV92" s="166"/>
      <c r="DW92" s="166"/>
      <c r="DX92" s="166"/>
      <c r="DY92" s="166"/>
      <c r="DZ92" s="166"/>
      <c r="EA92" s="166"/>
      <c r="EB92" s="166"/>
      <c r="EC92" s="166"/>
      <c r="ED92" s="166"/>
      <c r="EE92" s="166"/>
      <c r="EF92" s="166"/>
      <c r="EG92" s="166"/>
      <c r="EH92" s="166"/>
      <c r="EI92" s="166"/>
      <c r="EJ92" s="166"/>
      <c r="EK92" s="166"/>
      <c r="EL92" s="166"/>
      <c r="EM92" s="166"/>
      <c r="EN92" s="166"/>
      <c r="EO92" s="166"/>
      <c r="EP92" s="166"/>
      <c r="EQ92" s="166"/>
      <c r="ER92" s="166"/>
      <c r="ES92" s="166"/>
      <c r="ET92" s="166"/>
      <c r="EU92" s="166"/>
      <c r="EV92" s="166"/>
      <c r="EW92" s="166"/>
      <c r="EX92" s="166"/>
      <c r="EY92" s="166"/>
      <c r="EZ92" s="166"/>
      <c r="FA92" s="166"/>
      <c r="FB92" s="166"/>
      <c r="FC92" s="166"/>
      <c r="FD92" s="166"/>
      <c r="FE92" s="166"/>
      <c r="FF92" s="166"/>
      <c r="FG92" s="166"/>
      <c r="FH92" s="166"/>
      <c r="FI92" s="166"/>
      <c r="FJ92" s="166"/>
      <c r="FK92" s="166"/>
      <c r="FL92" s="166"/>
      <c r="FM92" s="166"/>
      <c r="FN92" s="166"/>
      <c r="FO92" s="166"/>
      <c r="FP92" s="166"/>
      <c r="FQ92" s="166"/>
      <c r="FR92" s="166"/>
      <c r="FS92" s="166"/>
      <c r="FT92" s="166"/>
      <c r="FU92" s="166"/>
      <c r="FV92" s="166"/>
      <c r="FW92" s="166"/>
      <c r="FX92" s="166"/>
      <c r="FY92" s="166"/>
      <c r="FZ92" s="166"/>
      <c r="GA92" s="166"/>
      <c r="GB92" s="166"/>
      <c r="GC92" s="166"/>
      <c r="GD92" s="166"/>
      <c r="GE92" s="166"/>
      <c r="GF92" s="166"/>
      <c r="GG92" s="166"/>
      <c r="GH92" s="166"/>
      <c r="GI92" s="166"/>
      <c r="GJ92" s="166"/>
      <c r="GK92" s="166"/>
      <c r="GL92" s="166"/>
      <c r="GM92" s="166"/>
      <c r="GN92" s="166"/>
      <c r="GO92" s="166"/>
      <c r="GP92" s="166"/>
      <c r="GQ92" s="166"/>
      <c r="GR92" s="166"/>
      <c r="GS92" s="166"/>
      <c r="GT92" s="166"/>
      <c r="GU92" s="166"/>
      <c r="GV92" s="166"/>
      <c r="GW92" s="166"/>
      <c r="GX92" s="166"/>
      <c r="GY92" s="166"/>
      <c r="GZ92" s="166"/>
      <c r="HA92" s="166"/>
      <c r="HB92" s="166"/>
      <c r="HC92" s="166"/>
      <c r="HD92" s="166"/>
      <c r="HE92" s="166"/>
      <c r="HF92" s="166"/>
      <c r="HG92" s="166"/>
      <c r="HH92" s="166"/>
      <c r="HI92" s="166"/>
      <c r="HJ92" s="166"/>
      <c r="HK92" s="166"/>
      <c r="HL92" s="166"/>
      <c r="HM92" s="166"/>
      <c r="HN92" s="166"/>
      <c r="HO92" s="166"/>
      <c r="HP92" s="166"/>
      <c r="HQ92" s="166"/>
      <c r="HR92" s="166"/>
      <c r="HS92" s="166"/>
      <c r="HT92" s="166"/>
      <c r="HU92" s="166"/>
      <c r="HV92" s="166"/>
      <c r="HW92" s="166"/>
      <c r="HX92" s="166"/>
      <c r="HY92" s="166"/>
      <c r="HZ92" s="166"/>
      <c r="IA92" s="166"/>
      <c r="IB92" s="166"/>
      <c r="IC92" s="166"/>
      <c r="ID92" s="166"/>
      <c r="IE92" s="166"/>
      <c r="IF92" s="166"/>
      <c r="IG92" s="166"/>
      <c r="IH92" s="166"/>
      <c r="II92" s="166"/>
      <c r="IJ92" s="166"/>
      <c r="IK92" s="166"/>
      <c r="IL92" s="166"/>
      <c r="IM92" s="166"/>
      <c r="IN92" s="166"/>
      <c r="IO92" s="166"/>
      <c r="IP92" s="166"/>
      <c r="IQ92" s="166"/>
      <c r="IR92" s="166"/>
      <c r="IS92" s="166"/>
      <c r="IT92" s="166"/>
      <c r="IU92" s="166"/>
      <c r="IV92" s="166"/>
    </row>
    <row r="93" spans="1:256" x14ac:dyDescent="0.25">
      <c r="A93" s="325">
        <f>IF(Info!$J$3&gt;0,Info!$J$3+B93, )</f>
        <v>0</v>
      </c>
      <c r="B93" s="215">
        <v>81</v>
      </c>
      <c r="C93" s="300"/>
      <c r="D93" s="211"/>
      <c r="E93" s="294"/>
      <c r="F93" s="294"/>
      <c r="G93" s="211"/>
      <c r="H93" s="211"/>
      <c r="I93" s="211"/>
      <c r="J93" s="205"/>
      <c r="K93" s="38"/>
      <c r="L93" s="166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  <c r="AL93" s="166"/>
      <c r="AM93" s="166"/>
      <c r="AN93" s="166"/>
      <c r="AO93" s="166"/>
      <c r="AP93" s="166"/>
      <c r="AQ93" s="166"/>
      <c r="AR93" s="166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  <c r="BK93" s="166"/>
      <c r="BL93" s="166"/>
      <c r="BM93" s="166"/>
      <c r="BN93" s="166"/>
      <c r="BO93" s="166"/>
      <c r="BP93" s="166"/>
      <c r="BQ93" s="166"/>
      <c r="BR93" s="166"/>
      <c r="BS93" s="166"/>
      <c r="BT93" s="166"/>
      <c r="BU93" s="166"/>
      <c r="BV93" s="166"/>
      <c r="BW93" s="166"/>
      <c r="BX93" s="166"/>
      <c r="BY93" s="166"/>
      <c r="BZ93" s="166"/>
      <c r="CA93" s="166"/>
      <c r="CB93" s="166"/>
      <c r="CC93" s="166"/>
      <c r="CD93" s="166"/>
      <c r="CE93" s="166"/>
      <c r="CF93" s="166"/>
      <c r="CG93" s="166"/>
      <c r="CH93" s="166"/>
      <c r="CI93" s="166"/>
      <c r="CJ93" s="166"/>
      <c r="CK93" s="166"/>
      <c r="CL93" s="166"/>
      <c r="CM93" s="166"/>
      <c r="CN93" s="166"/>
      <c r="CO93" s="166"/>
      <c r="CP93" s="166"/>
      <c r="CQ93" s="166"/>
      <c r="CR93" s="166"/>
      <c r="CS93" s="166"/>
      <c r="CT93" s="166"/>
      <c r="CU93" s="166"/>
      <c r="CV93" s="166"/>
      <c r="CW93" s="166"/>
      <c r="CX93" s="166"/>
      <c r="CY93" s="166"/>
      <c r="CZ93" s="166"/>
      <c r="DA93" s="166"/>
      <c r="DB93" s="166"/>
      <c r="DC93" s="166"/>
      <c r="DD93" s="166"/>
      <c r="DE93" s="166"/>
      <c r="DF93" s="166"/>
      <c r="DG93" s="166"/>
      <c r="DH93" s="166"/>
      <c r="DI93" s="166"/>
      <c r="DJ93" s="166"/>
      <c r="DK93" s="166"/>
      <c r="DL93" s="166"/>
      <c r="DM93" s="166"/>
      <c r="DN93" s="166"/>
      <c r="DO93" s="166"/>
      <c r="DP93" s="166"/>
      <c r="DQ93" s="166"/>
      <c r="DR93" s="166"/>
      <c r="DS93" s="166"/>
      <c r="DT93" s="166"/>
      <c r="DU93" s="166"/>
      <c r="DV93" s="166"/>
      <c r="DW93" s="166"/>
      <c r="DX93" s="166"/>
      <c r="DY93" s="166"/>
      <c r="DZ93" s="166"/>
      <c r="EA93" s="166"/>
      <c r="EB93" s="166"/>
      <c r="EC93" s="166"/>
      <c r="ED93" s="166"/>
      <c r="EE93" s="166"/>
      <c r="EF93" s="166"/>
      <c r="EG93" s="166"/>
      <c r="EH93" s="166"/>
      <c r="EI93" s="166"/>
      <c r="EJ93" s="166"/>
      <c r="EK93" s="166"/>
      <c r="EL93" s="166"/>
      <c r="EM93" s="166"/>
      <c r="EN93" s="166"/>
      <c r="EO93" s="166"/>
      <c r="EP93" s="166"/>
      <c r="EQ93" s="166"/>
      <c r="ER93" s="166"/>
      <c r="ES93" s="166"/>
      <c r="ET93" s="166"/>
      <c r="EU93" s="166"/>
      <c r="EV93" s="166"/>
      <c r="EW93" s="166"/>
      <c r="EX93" s="166"/>
      <c r="EY93" s="166"/>
      <c r="EZ93" s="166"/>
      <c r="FA93" s="166"/>
      <c r="FB93" s="166"/>
      <c r="FC93" s="166"/>
      <c r="FD93" s="166"/>
      <c r="FE93" s="166"/>
      <c r="FF93" s="166"/>
      <c r="FG93" s="166"/>
      <c r="FH93" s="166"/>
      <c r="FI93" s="166"/>
      <c r="FJ93" s="166"/>
      <c r="FK93" s="166"/>
      <c r="FL93" s="166"/>
      <c r="FM93" s="166"/>
      <c r="FN93" s="166"/>
      <c r="FO93" s="166"/>
      <c r="FP93" s="166"/>
      <c r="FQ93" s="166"/>
      <c r="FR93" s="166"/>
      <c r="FS93" s="166"/>
      <c r="FT93" s="166"/>
      <c r="FU93" s="166"/>
      <c r="FV93" s="166"/>
      <c r="FW93" s="166"/>
      <c r="FX93" s="166"/>
      <c r="FY93" s="166"/>
      <c r="FZ93" s="166"/>
      <c r="GA93" s="166"/>
      <c r="GB93" s="166"/>
      <c r="GC93" s="166"/>
      <c r="GD93" s="166"/>
      <c r="GE93" s="166"/>
      <c r="GF93" s="166"/>
      <c r="GG93" s="166"/>
      <c r="GH93" s="166"/>
      <c r="GI93" s="166"/>
      <c r="GJ93" s="166"/>
      <c r="GK93" s="166"/>
      <c r="GL93" s="166"/>
      <c r="GM93" s="166"/>
      <c r="GN93" s="166"/>
      <c r="GO93" s="166"/>
      <c r="GP93" s="166"/>
      <c r="GQ93" s="166"/>
      <c r="GR93" s="166"/>
      <c r="GS93" s="166"/>
      <c r="GT93" s="166"/>
      <c r="GU93" s="166"/>
      <c r="GV93" s="166"/>
      <c r="GW93" s="166"/>
      <c r="GX93" s="166"/>
      <c r="GY93" s="166"/>
      <c r="GZ93" s="166"/>
      <c r="HA93" s="166"/>
      <c r="HB93" s="166"/>
      <c r="HC93" s="166"/>
      <c r="HD93" s="166"/>
      <c r="HE93" s="166"/>
      <c r="HF93" s="166"/>
      <c r="HG93" s="166"/>
      <c r="HH93" s="166"/>
      <c r="HI93" s="166"/>
      <c r="HJ93" s="166"/>
      <c r="HK93" s="166"/>
      <c r="HL93" s="166"/>
      <c r="HM93" s="166"/>
      <c r="HN93" s="166"/>
      <c r="HO93" s="166"/>
      <c r="HP93" s="166"/>
      <c r="HQ93" s="166"/>
      <c r="HR93" s="166"/>
      <c r="HS93" s="166"/>
      <c r="HT93" s="166"/>
      <c r="HU93" s="166"/>
      <c r="HV93" s="166"/>
      <c r="HW93" s="166"/>
      <c r="HX93" s="166"/>
      <c r="HY93" s="166"/>
      <c r="HZ93" s="166"/>
      <c r="IA93" s="166"/>
      <c r="IB93" s="166"/>
      <c r="IC93" s="166"/>
      <c r="ID93" s="166"/>
      <c r="IE93" s="166"/>
      <c r="IF93" s="166"/>
      <c r="IG93" s="166"/>
      <c r="IH93" s="166"/>
      <c r="II93" s="166"/>
      <c r="IJ93" s="166"/>
      <c r="IK93" s="166"/>
      <c r="IL93" s="166"/>
      <c r="IM93" s="166"/>
      <c r="IN93" s="166"/>
      <c r="IO93" s="166"/>
      <c r="IP93" s="166"/>
      <c r="IQ93" s="166"/>
      <c r="IR93" s="166"/>
      <c r="IS93" s="166"/>
      <c r="IT93" s="166"/>
      <c r="IU93" s="166"/>
      <c r="IV93" s="166"/>
    </row>
    <row r="94" spans="1:256" x14ac:dyDescent="0.25">
      <c r="A94" s="325">
        <f>IF(Info!$J$3&gt;0,Info!$J$3+B94, )</f>
        <v>0</v>
      </c>
      <c r="B94" s="215">
        <v>82</v>
      </c>
      <c r="C94" s="299"/>
      <c r="D94" s="211"/>
      <c r="E94" s="294"/>
      <c r="F94" s="294"/>
      <c r="G94" s="211"/>
      <c r="H94" s="211"/>
      <c r="I94" s="211"/>
      <c r="J94" s="205"/>
      <c r="K94" s="38"/>
      <c r="L94" s="166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  <c r="AL94" s="166"/>
      <c r="AM94" s="166"/>
      <c r="AN94" s="166"/>
      <c r="AO94" s="166"/>
      <c r="AP94" s="166"/>
      <c r="AQ94" s="166"/>
      <c r="AR94" s="166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  <c r="BK94" s="166"/>
      <c r="BL94" s="166"/>
      <c r="BM94" s="166"/>
      <c r="BN94" s="166"/>
      <c r="BO94" s="166"/>
      <c r="BP94" s="166"/>
      <c r="BQ94" s="166"/>
      <c r="BR94" s="166"/>
      <c r="BS94" s="166"/>
      <c r="BT94" s="166"/>
      <c r="BU94" s="166"/>
      <c r="BV94" s="166"/>
      <c r="BW94" s="166"/>
      <c r="BX94" s="166"/>
      <c r="BY94" s="166"/>
      <c r="BZ94" s="166"/>
      <c r="CA94" s="166"/>
      <c r="CB94" s="166"/>
      <c r="CC94" s="166"/>
      <c r="CD94" s="166"/>
      <c r="CE94" s="166"/>
      <c r="CF94" s="166"/>
      <c r="CG94" s="166"/>
      <c r="CH94" s="166"/>
      <c r="CI94" s="166"/>
      <c r="CJ94" s="166"/>
      <c r="CK94" s="166"/>
      <c r="CL94" s="166"/>
      <c r="CM94" s="166"/>
      <c r="CN94" s="166"/>
      <c r="CO94" s="166"/>
      <c r="CP94" s="166"/>
      <c r="CQ94" s="166"/>
      <c r="CR94" s="166"/>
      <c r="CS94" s="166"/>
      <c r="CT94" s="166"/>
      <c r="CU94" s="166"/>
      <c r="CV94" s="166"/>
      <c r="CW94" s="166"/>
      <c r="CX94" s="166"/>
      <c r="CY94" s="166"/>
      <c r="CZ94" s="166"/>
      <c r="DA94" s="166"/>
      <c r="DB94" s="166"/>
      <c r="DC94" s="166"/>
      <c r="DD94" s="166"/>
      <c r="DE94" s="166"/>
      <c r="DF94" s="166"/>
      <c r="DG94" s="166"/>
      <c r="DH94" s="166"/>
      <c r="DI94" s="166"/>
      <c r="DJ94" s="166"/>
      <c r="DK94" s="166"/>
      <c r="DL94" s="166"/>
      <c r="DM94" s="166"/>
      <c r="DN94" s="166"/>
      <c r="DO94" s="166"/>
      <c r="DP94" s="166"/>
      <c r="DQ94" s="166"/>
      <c r="DR94" s="166"/>
      <c r="DS94" s="166"/>
      <c r="DT94" s="166"/>
      <c r="DU94" s="166"/>
      <c r="DV94" s="166"/>
      <c r="DW94" s="166"/>
      <c r="DX94" s="166"/>
      <c r="DY94" s="166"/>
      <c r="DZ94" s="166"/>
      <c r="EA94" s="166"/>
      <c r="EB94" s="166"/>
      <c r="EC94" s="166"/>
      <c r="ED94" s="166"/>
      <c r="EE94" s="166"/>
      <c r="EF94" s="166"/>
      <c r="EG94" s="166"/>
      <c r="EH94" s="166"/>
      <c r="EI94" s="166"/>
      <c r="EJ94" s="166"/>
      <c r="EK94" s="166"/>
      <c r="EL94" s="166"/>
      <c r="EM94" s="166"/>
      <c r="EN94" s="166"/>
      <c r="EO94" s="166"/>
      <c r="EP94" s="166"/>
      <c r="EQ94" s="166"/>
      <c r="ER94" s="166"/>
      <c r="ES94" s="166"/>
      <c r="ET94" s="166"/>
      <c r="EU94" s="166"/>
      <c r="EV94" s="166"/>
      <c r="EW94" s="166"/>
      <c r="EX94" s="166"/>
      <c r="EY94" s="166"/>
      <c r="EZ94" s="166"/>
      <c r="FA94" s="166"/>
      <c r="FB94" s="166"/>
      <c r="FC94" s="166"/>
      <c r="FD94" s="166"/>
      <c r="FE94" s="166"/>
      <c r="FF94" s="166"/>
      <c r="FG94" s="166"/>
      <c r="FH94" s="166"/>
      <c r="FI94" s="166"/>
      <c r="FJ94" s="166"/>
      <c r="FK94" s="166"/>
      <c r="FL94" s="166"/>
      <c r="FM94" s="166"/>
      <c r="FN94" s="166"/>
      <c r="FO94" s="166"/>
      <c r="FP94" s="166"/>
      <c r="FQ94" s="166"/>
      <c r="FR94" s="166"/>
      <c r="FS94" s="166"/>
      <c r="FT94" s="166"/>
      <c r="FU94" s="166"/>
      <c r="FV94" s="166"/>
      <c r="FW94" s="166"/>
      <c r="FX94" s="166"/>
      <c r="FY94" s="166"/>
      <c r="FZ94" s="166"/>
      <c r="GA94" s="166"/>
      <c r="GB94" s="166"/>
      <c r="GC94" s="166"/>
      <c r="GD94" s="166"/>
      <c r="GE94" s="166"/>
      <c r="GF94" s="166"/>
      <c r="GG94" s="166"/>
      <c r="GH94" s="166"/>
      <c r="GI94" s="166"/>
      <c r="GJ94" s="166"/>
      <c r="GK94" s="166"/>
      <c r="GL94" s="166"/>
      <c r="GM94" s="166"/>
      <c r="GN94" s="166"/>
      <c r="GO94" s="166"/>
      <c r="GP94" s="166"/>
      <c r="GQ94" s="166"/>
      <c r="GR94" s="166"/>
      <c r="GS94" s="166"/>
      <c r="GT94" s="166"/>
      <c r="GU94" s="166"/>
      <c r="GV94" s="166"/>
      <c r="GW94" s="166"/>
      <c r="GX94" s="166"/>
      <c r="GY94" s="166"/>
      <c r="GZ94" s="166"/>
      <c r="HA94" s="166"/>
      <c r="HB94" s="166"/>
      <c r="HC94" s="166"/>
      <c r="HD94" s="166"/>
      <c r="HE94" s="166"/>
      <c r="HF94" s="166"/>
      <c r="HG94" s="166"/>
      <c r="HH94" s="166"/>
      <c r="HI94" s="166"/>
      <c r="HJ94" s="166"/>
      <c r="HK94" s="166"/>
      <c r="HL94" s="166"/>
      <c r="HM94" s="166"/>
      <c r="HN94" s="166"/>
      <c r="HO94" s="166"/>
      <c r="HP94" s="166"/>
      <c r="HQ94" s="166"/>
      <c r="HR94" s="166"/>
      <c r="HS94" s="166"/>
      <c r="HT94" s="166"/>
      <c r="HU94" s="166"/>
      <c r="HV94" s="166"/>
      <c r="HW94" s="166"/>
      <c r="HX94" s="166"/>
      <c r="HY94" s="166"/>
      <c r="HZ94" s="166"/>
      <c r="IA94" s="166"/>
      <c r="IB94" s="166"/>
      <c r="IC94" s="166"/>
      <c r="ID94" s="166"/>
      <c r="IE94" s="166"/>
      <c r="IF94" s="166"/>
      <c r="IG94" s="166"/>
      <c r="IH94" s="166"/>
      <c r="II94" s="166"/>
      <c r="IJ94" s="166"/>
      <c r="IK94" s="166"/>
      <c r="IL94" s="166"/>
      <c r="IM94" s="166"/>
      <c r="IN94" s="166"/>
      <c r="IO94" s="166"/>
      <c r="IP94" s="166"/>
      <c r="IQ94" s="166"/>
      <c r="IR94" s="166"/>
      <c r="IS94" s="166"/>
      <c r="IT94" s="166"/>
      <c r="IU94" s="166"/>
      <c r="IV94" s="166"/>
    </row>
    <row r="95" spans="1:256" x14ac:dyDescent="0.25">
      <c r="A95" s="325">
        <f>IF(Info!$J$3&gt;0,Info!$J$3+B95, )</f>
        <v>0</v>
      </c>
      <c r="B95" s="215">
        <v>83</v>
      </c>
      <c r="C95" s="299"/>
      <c r="D95" s="211"/>
      <c r="E95" s="294"/>
      <c r="F95" s="294"/>
      <c r="G95" s="211"/>
      <c r="H95" s="211"/>
      <c r="I95" s="211"/>
      <c r="J95" s="205"/>
      <c r="K95" s="38"/>
      <c r="L95" s="166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  <c r="AL95" s="166"/>
      <c r="AM95" s="166"/>
      <c r="AN95" s="166"/>
      <c r="AO95" s="166"/>
      <c r="AP95" s="166"/>
      <c r="AQ95" s="166"/>
      <c r="AR95" s="166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  <c r="BK95" s="166"/>
      <c r="BL95" s="166"/>
      <c r="BM95" s="166"/>
      <c r="BN95" s="166"/>
      <c r="BO95" s="166"/>
      <c r="BP95" s="166"/>
      <c r="BQ95" s="166"/>
      <c r="BR95" s="166"/>
      <c r="BS95" s="166"/>
      <c r="BT95" s="166"/>
      <c r="BU95" s="166"/>
      <c r="BV95" s="166"/>
      <c r="BW95" s="166"/>
      <c r="BX95" s="166"/>
      <c r="BY95" s="166"/>
      <c r="BZ95" s="166"/>
      <c r="CA95" s="166"/>
      <c r="CB95" s="166"/>
      <c r="CC95" s="166"/>
      <c r="CD95" s="166"/>
      <c r="CE95" s="166"/>
      <c r="CF95" s="166"/>
      <c r="CG95" s="166"/>
      <c r="CH95" s="166"/>
      <c r="CI95" s="166"/>
      <c r="CJ95" s="166"/>
      <c r="CK95" s="166"/>
      <c r="CL95" s="166"/>
      <c r="CM95" s="166"/>
      <c r="CN95" s="166"/>
      <c r="CO95" s="166"/>
      <c r="CP95" s="166"/>
      <c r="CQ95" s="166"/>
      <c r="CR95" s="166"/>
      <c r="CS95" s="166"/>
      <c r="CT95" s="166"/>
      <c r="CU95" s="166"/>
      <c r="CV95" s="166"/>
      <c r="CW95" s="166"/>
      <c r="CX95" s="166"/>
      <c r="CY95" s="166"/>
      <c r="CZ95" s="166"/>
      <c r="DA95" s="166"/>
      <c r="DB95" s="166"/>
      <c r="DC95" s="166"/>
      <c r="DD95" s="166"/>
      <c r="DE95" s="166"/>
      <c r="DF95" s="166"/>
      <c r="DG95" s="166"/>
      <c r="DH95" s="166"/>
      <c r="DI95" s="166"/>
      <c r="DJ95" s="166"/>
      <c r="DK95" s="166"/>
      <c r="DL95" s="166"/>
      <c r="DM95" s="166"/>
      <c r="DN95" s="166"/>
      <c r="DO95" s="166"/>
      <c r="DP95" s="166"/>
      <c r="DQ95" s="166"/>
      <c r="DR95" s="166"/>
      <c r="DS95" s="166"/>
      <c r="DT95" s="166"/>
      <c r="DU95" s="166"/>
      <c r="DV95" s="166"/>
      <c r="DW95" s="166"/>
      <c r="DX95" s="166"/>
      <c r="DY95" s="166"/>
      <c r="DZ95" s="166"/>
      <c r="EA95" s="166"/>
      <c r="EB95" s="166"/>
      <c r="EC95" s="166"/>
      <c r="ED95" s="166"/>
      <c r="EE95" s="166"/>
      <c r="EF95" s="166"/>
      <c r="EG95" s="166"/>
      <c r="EH95" s="166"/>
      <c r="EI95" s="166"/>
      <c r="EJ95" s="166"/>
      <c r="EK95" s="166"/>
      <c r="EL95" s="166"/>
      <c r="EM95" s="166"/>
      <c r="EN95" s="166"/>
      <c r="EO95" s="166"/>
      <c r="EP95" s="166"/>
      <c r="EQ95" s="166"/>
      <c r="ER95" s="166"/>
      <c r="ES95" s="166"/>
      <c r="ET95" s="166"/>
      <c r="EU95" s="166"/>
      <c r="EV95" s="166"/>
      <c r="EW95" s="166"/>
      <c r="EX95" s="166"/>
      <c r="EY95" s="166"/>
      <c r="EZ95" s="166"/>
      <c r="FA95" s="166"/>
      <c r="FB95" s="166"/>
      <c r="FC95" s="166"/>
      <c r="FD95" s="166"/>
      <c r="FE95" s="166"/>
      <c r="FF95" s="166"/>
      <c r="FG95" s="166"/>
      <c r="FH95" s="166"/>
      <c r="FI95" s="166"/>
      <c r="FJ95" s="166"/>
      <c r="FK95" s="166"/>
      <c r="FL95" s="166"/>
      <c r="FM95" s="166"/>
      <c r="FN95" s="166"/>
      <c r="FO95" s="166"/>
      <c r="FP95" s="166"/>
      <c r="FQ95" s="166"/>
      <c r="FR95" s="166"/>
      <c r="FS95" s="166"/>
      <c r="FT95" s="166"/>
      <c r="FU95" s="166"/>
      <c r="FV95" s="166"/>
      <c r="FW95" s="166"/>
      <c r="FX95" s="166"/>
      <c r="FY95" s="166"/>
      <c r="FZ95" s="166"/>
      <c r="GA95" s="166"/>
      <c r="GB95" s="166"/>
      <c r="GC95" s="166"/>
      <c r="GD95" s="166"/>
      <c r="GE95" s="166"/>
      <c r="GF95" s="166"/>
      <c r="GG95" s="166"/>
      <c r="GH95" s="166"/>
      <c r="GI95" s="166"/>
      <c r="GJ95" s="166"/>
      <c r="GK95" s="166"/>
      <c r="GL95" s="166"/>
      <c r="GM95" s="166"/>
      <c r="GN95" s="166"/>
      <c r="GO95" s="166"/>
      <c r="GP95" s="166"/>
      <c r="GQ95" s="166"/>
      <c r="GR95" s="166"/>
      <c r="GS95" s="166"/>
      <c r="GT95" s="166"/>
      <c r="GU95" s="166"/>
      <c r="GV95" s="166"/>
      <c r="GW95" s="166"/>
      <c r="GX95" s="166"/>
      <c r="GY95" s="166"/>
      <c r="GZ95" s="166"/>
      <c r="HA95" s="166"/>
      <c r="HB95" s="166"/>
      <c r="HC95" s="166"/>
      <c r="HD95" s="166"/>
      <c r="HE95" s="166"/>
      <c r="HF95" s="166"/>
      <c r="HG95" s="166"/>
      <c r="HH95" s="166"/>
      <c r="HI95" s="166"/>
      <c r="HJ95" s="166"/>
      <c r="HK95" s="166"/>
      <c r="HL95" s="166"/>
      <c r="HM95" s="166"/>
      <c r="HN95" s="166"/>
      <c r="HO95" s="166"/>
      <c r="HP95" s="166"/>
      <c r="HQ95" s="166"/>
      <c r="HR95" s="166"/>
      <c r="HS95" s="166"/>
      <c r="HT95" s="166"/>
      <c r="HU95" s="166"/>
      <c r="HV95" s="166"/>
      <c r="HW95" s="166"/>
      <c r="HX95" s="166"/>
      <c r="HY95" s="166"/>
      <c r="HZ95" s="166"/>
      <c r="IA95" s="166"/>
      <c r="IB95" s="166"/>
      <c r="IC95" s="166"/>
      <c r="ID95" s="166"/>
      <c r="IE95" s="166"/>
      <c r="IF95" s="166"/>
      <c r="IG95" s="166"/>
      <c r="IH95" s="166"/>
      <c r="II95" s="166"/>
      <c r="IJ95" s="166"/>
      <c r="IK95" s="166"/>
      <c r="IL95" s="166"/>
      <c r="IM95" s="166"/>
      <c r="IN95" s="166"/>
      <c r="IO95" s="166"/>
      <c r="IP95" s="166"/>
      <c r="IQ95" s="166"/>
      <c r="IR95" s="166"/>
      <c r="IS95" s="166"/>
      <c r="IT95" s="166"/>
      <c r="IU95" s="166"/>
      <c r="IV95" s="166"/>
    </row>
    <row r="96" spans="1:256" x14ac:dyDescent="0.25">
      <c r="A96" s="325">
        <f>IF(Info!$J$3&gt;0,Info!$J$3+B96, )</f>
        <v>0</v>
      </c>
      <c r="B96" s="215">
        <v>84</v>
      </c>
      <c r="C96" s="300"/>
      <c r="D96" s="211"/>
      <c r="E96" s="294"/>
      <c r="F96" s="294"/>
      <c r="G96" s="211"/>
      <c r="H96" s="211"/>
      <c r="I96" s="211"/>
      <c r="J96" s="206"/>
      <c r="K96" s="38"/>
      <c r="L96" s="16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  <c r="AL96" s="166"/>
      <c r="AM96" s="166"/>
      <c r="AN96" s="166"/>
      <c r="AO96" s="166"/>
      <c r="AP96" s="166"/>
      <c r="AQ96" s="166"/>
      <c r="AR96" s="166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  <c r="BK96" s="166"/>
      <c r="BL96" s="166"/>
      <c r="BM96" s="166"/>
      <c r="BN96" s="166"/>
      <c r="BO96" s="166"/>
      <c r="BP96" s="166"/>
      <c r="BQ96" s="166"/>
      <c r="BR96" s="166"/>
      <c r="BS96" s="166"/>
      <c r="BT96" s="166"/>
      <c r="BU96" s="166"/>
      <c r="BV96" s="166"/>
      <c r="BW96" s="166"/>
      <c r="BX96" s="166"/>
      <c r="BY96" s="166"/>
      <c r="BZ96" s="166"/>
      <c r="CA96" s="166"/>
      <c r="CB96" s="166"/>
      <c r="CC96" s="166"/>
      <c r="CD96" s="166"/>
      <c r="CE96" s="166"/>
      <c r="CF96" s="166"/>
      <c r="CG96" s="166"/>
      <c r="CH96" s="166"/>
      <c r="CI96" s="166"/>
      <c r="CJ96" s="166"/>
      <c r="CK96" s="166"/>
      <c r="CL96" s="166"/>
      <c r="CM96" s="166"/>
      <c r="CN96" s="166"/>
      <c r="CO96" s="166"/>
      <c r="CP96" s="166"/>
      <c r="CQ96" s="166"/>
      <c r="CR96" s="166"/>
      <c r="CS96" s="166"/>
      <c r="CT96" s="166"/>
      <c r="CU96" s="166"/>
      <c r="CV96" s="166"/>
      <c r="CW96" s="166"/>
      <c r="CX96" s="166"/>
      <c r="CY96" s="166"/>
      <c r="CZ96" s="166"/>
      <c r="DA96" s="166"/>
      <c r="DB96" s="166"/>
      <c r="DC96" s="166"/>
      <c r="DD96" s="166"/>
      <c r="DE96" s="166"/>
      <c r="DF96" s="166"/>
      <c r="DG96" s="166"/>
      <c r="DH96" s="166"/>
      <c r="DI96" s="166"/>
      <c r="DJ96" s="166"/>
      <c r="DK96" s="166"/>
      <c r="DL96" s="166"/>
      <c r="DM96" s="166"/>
      <c r="DN96" s="166"/>
      <c r="DO96" s="166"/>
      <c r="DP96" s="166"/>
      <c r="DQ96" s="166"/>
      <c r="DR96" s="166"/>
      <c r="DS96" s="166"/>
      <c r="DT96" s="166"/>
      <c r="DU96" s="166"/>
      <c r="DV96" s="166"/>
      <c r="DW96" s="166"/>
      <c r="DX96" s="166"/>
      <c r="DY96" s="166"/>
      <c r="DZ96" s="166"/>
      <c r="EA96" s="166"/>
      <c r="EB96" s="166"/>
      <c r="EC96" s="166"/>
      <c r="ED96" s="166"/>
      <c r="EE96" s="166"/>
      <c r="EF96" s="166"/>
      <c r="EG96" s="166"/>
      <c r="EH96" s="166"/>
      <c r="EI96" s="166"/>
      <c r="EJ96" s="166"/>
      <c r="EK96" s="166"/>
      <c r="EL96" s="166"/>
      <c r="EM96" s="166"/>
      <c r="EN96" s="166"/>
      <c r="EO96" s="166"/>
      <c r="EP96" s="166"/>
      <c r="EQ96" s="166"/>
      <c r="ER96" s="166"/>
      <c r="ES96" s="166"/>
      <c r="ET96" s="166"/>
      <c r="EU96" s="166"/>
      <c r="EV96" s="166"/>
      <c r="EW96" s="166"/>
      <c r="EX96" s="166"/>
      <c r="EY96" s="166"/>
      <c r="EZ96" s="166"/>
      <c r="FA96" s="166"/>
      <c r="FB96" s="166"/>
      <c r="FC96" s="166"/>
      <c r="FD96" s="166"/>
      <c r="FE96" s="166"/>
      <c r="FF96" s="166"/>
      <c r="FG96" s="166"/>
      <c r="FH96" s="166"/>
      <c r="FI96" s="166"/>
      <c r="FJ96" s="166"/>
      <c r="FK96" s="166"/>
      <c r="FL96" s="166"/>
      <c r="FM96" s="166"/>
      <c r="FN96" s="166"/>
      <c r="FO96" s="166"/>
      <c r="FP96" s="166"/>
      <c r="FQ96" s="166"/>
      <c r="FR96" s="166"/>
      <c r="FS96" s="166"/>
      <c r="FT96" s="166"/>
      <c r="FU96" s="166"/>
      <c r="FV96" s="166"/>
      <c r="FW96" s="166"/>
      <c r="FX96" s="166"/>
      <c r="FY96" s="166"/>
      <c r="FZ96" s="166"/>
      <c r="GA96" s="166"/>
      <c r="GB96" s="166"/>
      <c r="GC96" s="166"/>
      <c r="GD96" s="166"/>
      <c r="GE96" s="166"/>
      <c r="GF96" s="166"/>
      <c r="GG96" s="166"/>
      <c r="GH96" s="166"/>
      <c r="GI96" s="166"/>
      <c r="GJ96" s="166"/>
      <c r="GK96" s="166"/>
      <c r="GL96" s="166"/>
      <c r="GM96" s="166"/>
      <c r="GN96" s="166"/>
      <c r="GO96" s="166"/>
      <c r="GP96" s="166"/>
      <c r="GQ96" s="166"/>
      <c r="GR96" s="166"/>
      <c r="GS96" s="166"/>
      <c r="GT96" s="166"/>
      <c r="GU96" s="166"/>
      <c r="GV96" s="166"/>
      <c r="GW96" s="166"/>
      <c r="GX96" s="166"/>
      <c r="GY96" s="166"/>
      <c r="GZ96" s="166"/>
      <c r="HA96" s="166"/>
      <c r="HB96" s="166"/>
      <c r="HC96" s="166"/>
      <c r="HD96" s="166"/>
      <c r="HE96" s="166"/>
      <c r="HF96" s="166"/>
      <c r="HG96" s="166"/>
      <c r="HH96" s="166"/>
      <c r="HI96" s="166"/>
      <c r="HJ96" s="166"/>
      <c r="HK96" s="166"/>
      <c r="HL96" s="166"/>
      <c r="HM96" s="166"/>
      <c r="HN96" s="166"/>
      <c r="HO96" s="166"/>
      <c r="HP96" s="166"/>
      <c r="HQ96" s="166"/>
      <c r="HR96" s="166"/>
      <c r="HS96" s="166"/>
      <c r="HT96" s="166"/>
      <c r="HU96" s="166"/>
      <c r="HV96" s="166"/>
      <c r="HW96" s="166"/>
      <c r="HX96" s="166"/>
      <c r="HY96" s="166"/>
      <c r="HZ96" s="166"/>
      <c r="IA96" s="166"/>
      <c r="IB96" s="166"/>
      <c r="IC96" s="166"/>
      <c r="ID96" s="166"/>
      <c r="IE96" s="166"/>
      <c r="IF96" s="166"/>
      <c r="IG96" s="166"/>
      <c r="IH96" s="166"/>
      <c r="II96" s="166"/>
      <c r="IJ96" s="166"/>
      <c r="IK96" s="166"/>
      <c r="IL96" s="166"/>
      <c r="IM96" s="166"/>
      <c r="IN96" s="166"/>
      <c r="IO96" s="166"/>
      <c r="IP96" s="166"/>
      <c r="IQ96" s="166"/>
      <c r="IR96" s="166"/>
      <c r="IS96" s="166"/>
      <c r="IT96" s="166"/>
      <c r="IU96" s="166"/>
      <c r="IV96" s="166"/>
    </row>
    <row r="97" spans="1:256" x14ac:dyDescent="0.25">
      <c r="A97" s="326">
        <f>A96</f>
        <v>0</v>
      </c>
      <c r="B97" s="207" t="str">
        <f>Traducción!$B$24&amp;" 12"</f>
        <v>Sem. 12</v>
      </c>
      <c r="C97" s="301">
        <f>SUM(C90:C96)</f>
        <v>0</v>
      </c>
      <c r="D97" s="288">
        <f t="shared" ref="D97" si="27">IFERROR(AVERAGE(D90:D96), )</f>
        <v>0</v>
      </c>
      <c r="E97" s="296">
        <f t="shared" ref="E97:F97" si="28">SUM(E90:E96)</f>
        <v>0</v>
      </c>
      <c r="F97" s="296">
        <f t="shared" si="28"/>
        <v>0</v>
      </c>
      <c r="G97" s="288">
        <f t="shared" ref="G97:I97" si="29">IFERROR(AVERAGE(G90:G96), )</f>
        <v>0</v>
      </c>
      <c r="H97" s="210">
        <f t="shared" si="29"/>
        <v>0</v>
      </c>
      <c r="I97" s="210">
        <f t="shared" si="29"/>
        <v>0</v>
      </c>
      <c r="J97" s="202"/>
      <c r="K97" s="38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  <c r="AL97" s="166"/>
      <c r="AM97" s="166"/>
      <c r="AN97" s="166"/>
      <c r="AO97" s="166"/>
      <c r="AP97" s="166"/>
      <c r="AQ97" s="166"/>
      <c r="AR97" s="166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  <c r="BK97" s="166"/>
      <c r="BL97" s="166"/>
      <c r="BM97" s="166"/>
      <c r="BN97" s="166"/>
      <c r="BO97" s="166"/>
      <c r="BP97" s="166"/>
      <c r="BQ97" s="166"/>
      <c r="BR97" s="166"/>
      <c r="BS97" s="166"/>
      <c r="BT97" s="166"/>
      <c r="BU97" s="166"/>
      <c r="BV97" s="166"/>
      <c r="BW97" s="166"/>
      <c r="BX97" s="166"/>
      <c r="BY97" s="166"/>
      <c r="BZ97" s="166"/>
      <c r="CA97" s="166"/>
      <c r="CB97" s="166"/>
      <c r="CC97" s="166"/>
      <c r="CD97" s="166"/>
      <c r="CE97" s="166"/>
      <c r="CF97" s="166"/>
      <c r="CG97" s="166"/>
      <c r="CH97" s="166"/>
      <c r="CI97" s="166"/>
      <c r="CJ97" s="166"/>
      <c r="CK97" s="166"/>
      <c r="CL97" s="166"/>
      <c r="CM97" s="166"/>
      <c r="CN97" s="166"/>
      <c r="CO97" s="166"/>
      <c r="CP97" s="166"/>
      <c r="CQ97" s="166"/>
      <c r="CR97" s="166"/>
      <c r="CS97" s="166"/>
      <c r="CT97" s="166"/>
      <c r="CU97" s="166"/>
      <c r="CV97" s="166"/>
      <c r="CW97" s="166"/>
      <c r="CX97" s="166"/>
      <c r="CY97" s="166"/>
      <c r="CZ97" s="166"/>
      <c r="DA97" s="166"/>
      <c r="DB97" s="166"/>
      <c r="DC97" s="166"/>
      <c r="DD97" s="166"/>
      <c r="DE97" s="166"/>
      <c r="DF97" s="166"/>
      <c r="DG97" s="166"/>
      <c r="DH97" s="166"/>
      <c r="DI97" s="166"/>
      <c r="DJ97" s="166"/>
      <c r="DK97" s="166"/>
      <c r="DL97" s="166"/>
      <c r="DM97" s="166"/>
      <c r="DN97" s="166"/>
      <c r="DO97" s="166"/>
      <c r="DP97" s="166"/>
      <c r="DQ97" s="166"/>
      <c r="DR97" s="166"/>
      <c r="DS97" s="166"/>
      <c r="DT97" s="166"/>
      <c r="DU97" s="166"/>
      <c r="DV97" s="166"/>
      <c r="DW97" s="166"/>
      <c r="DX97" s="166"/>
      <c r="DY97" s="166"/>
      <c r="DZ97" s="166"/>
      <c r="EA97" s="166"/>
      <c r="EB97" s="166"/>
      <c r="EC97" s="166"/>
      <c r="ED97" s="166"/>
      <c r="EE97" s="166"/>
      <c r="EF97" s="166"/>
      <c r="EG97" s="166"/>
      <c r="EH97" s="166"/>
      <c r="EI97" s="166"/>
      <c r="EJ97" s="166"/>
      <c r="EK97" s="166"/>
      <c r="EL97" s="166"/>
      <c r="EM97" s="166"/>
      <c r="EN97" s="166"/>
      <c r="EO97" s="166"/>
      <c r="EP97" s="166"/>
      <c r="EQ97" s="166"/>
      <c r="ER97" s="166"/>
      <c r="ES97" s="166"/>
      <c r="ET97" s="166"/>
      <c r="EU97" s="166"/>
      <c r="EV97" s="166"/>
      <c r="EW97" s="166"/>
      <c r="EX97" s="166"/>
      <c r="EY97" s="166"/>
      <c r="EZ97" s="166"/>
      <c r="FA97" s="166"/>
      <c r="FB97" s="166"/>
      <c r="FC97" s="166"/>
      <c r="FD97" s="166"/>
      <c r="FE97" s="166"/>
      <c r="FF97" s="166"/>
      <c r="FG97" s="166"/>
      <c r="FH97" s="166"/>
      <c r="FI97" s="166"/>
      <c r="FJ97" s="166"/>
      <c r="FK97" s="166"/>
      <c r="FL97" s="166"/>
      <c r="FM97" s="166"/>
      <c r="FN97" s="166"/>
      <c r="FO97" s="166"/>
      <c r="FP97" s="166"/>
      <c r="FQ97" s="166"/>
      <c r="FR97" s="166"/>
      <c r="FS97" s="166"/>
      <c r="FT97" s="166"/>
      <c r="FU97" s="166"/>
      <c r="FV97" s="166"/>
      <c r="FW97" s="166"/>
      <c r="FX97" s="166"/>
      <c r="FY97" s="166"/>
      <c r="FZ97" s="166"/>
      <c r="GA97" s="166"/>
      <c r="GB97" s="166"/>
      <c r="GC97" s="166"/>
      <c r="GD97" s="166"/>
      <c r="GE97" s="166"/>
      <c r="GF97" s="166"/>
      <c r="GG97" s="166"/>
      <c r="GH97" s="166"/>
      <c r="GI97" s="166"/>
      <c r="GJ97" s="166"/>
      <c r="GK97" s="166"/>
      <c r="GL97" s="166"/>
      <c r="GM97" s="166"/>
      <c r="GN97" s="166"/>
      <c r="GO97" s="166"/>
      <c r="GP97" s="166"/>
      <c r="GQ97" s="166"/>
      <c r="GR97" s="166"/>
      <c r="GS97" s="166"/>
      <c r="GT97" s="166"/>
      <c r="GU97" s="166"/>
      <c r="GV97" s="166"/>
      <c r="GW97" s="166"/>
      <c r="GX97" s="166"/>
      <c r="GY97" s="166"/>
      <c r="GZ97" s="166"/>
      <c r="HA97" s="166"/>
      <c r="HB97" s="166"/>
      <c r="HC97" s="166"/>
      <c r="HD97" s="166"/>
      <c r="HE97" s="166"/>
      <c r="HF97" s="166"/>
      <c r="HG97" s="166"/>
      <c r="HH97" s="166"/>
      <c r="HI97" s="166"/>
      <c r="HJ97" s="166"/>
      <c r="HK97" s="166"/>
      <c r="HL97" s="166"/>
      <c r="HM97" s="166"/>
      <c r="HN97" s="166"/>
      <c r="HO97" s="166"/>
      <c r="HP97" s="166"/>
      <c r="HQ97" s="166"/>
      <c r="HR97" s="166"/>
      <c r="HS97" s="166"/>
      <c r="HT97" s="166"/>
      <c r="HU97" s="166"/>
      <c r="HV97" s="166"/>
      <c r="HW97" s="166"/>
      <c r="HX97" s="166"/>
      <c r="HY97" s="166"/>
      <c r="HZ97" s="166"/>
      <c r="IA97" s="166"/>
      <c r="IB97" s="166"/>
      <c r="IC97" s="166"/>
      <c r="ID97" s="166"/>
      <c r="IE97" s="166"/>
      <c r="IF97" s="166"/>
      <c r="IG97" s="166"/>
      <c r="IH97" s="166"/>
      <c r="II97" s="166"/>
      <c r="IJ97" s="166"/>
      <c r="IK97" s="166"/>
      <c r="IL97" s="166"/>
      <c r="IM97" s="166"/>
      <c r="IN97" s="166"/>
      <c r="IO97" s="166"/>
      <c r="IP97" s="166"/>
      <c r="IQ97" s="166"/>
      <c r="IR97" s="166"/>
      <c r="IS97" s="166"/>
      <c r="IT97" s="166"/>
      <c r="IU97" s="166"/>
      <c r="IV97" s="166"/>
    </row>
    <row r="98" spans="1:256" x14ac:dyDescent="0.25">
      <c r="A98" s="325">
        <f>IF(Info!$J$3&gt;0,Info!$J$3+B98, )</f>
        <v>0</v>
      </c>
      <c r="B98" s="215">
        <v>85</v>
      </c>
      <c r="C98" s="299"/>
      <c r="D98" s="211"/>
      <c r="E98" s="294"/>
      <c r="F98" s="294"/>
      <c r="G98" s="211"/>
      <c r="H98" s="211"/>
      <c r="I98" s="211"/>
      <c r="J98" s="204"/>
      <c r="K98" s="38"/>
      <c r="L98" s="166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  <c r="BK98" s="166"/>
      <c r="BL98" s="166"/>
      <c r="BM98" s="166"/>
      <c r="BN98" s="166"/>
      <c r="BO98" s="166"/>
      <c r="BP98" s="166"/>
      <c r="BQ98" s="166"/>
      <c r="BR98" s="166"/>
      <c r="BS98" s="166"/>
      <c r="BT98" s="166"/>
      <c r="BU98" s="166"/>
      <c r="BV98" s="166"/>
      <c r="BW98" s="166"/>
      <c r="BX98" s="166"/>
      <c r="BY98" s="166"/>
      <c r="BZ98" s="166"/>
      <c r="CA98" s="166"/>
      <c r="CB98" s="166"/>
      <c r="CC98" s="166"/>
      <c r="CD98" s="166"/>
      <c r="CE98" s="166"/>
      <c r="CF98" s="166"/>
      <c r="CG98" s="166"/>
      <c r="CH98" s="166"/>
      <c r="CI98" s="166"/>
      <c r="CJ98" s="166"/>
      <c r="CK98" s="166"/>
      <c r="CL98" s="166"/>
      <c r="CM98" s="166"/>
      <c r="CN98" s="166"/>
      <c r="CO98" s="166"/>
      <c r="CP98" s="166"/>
      <c r="CQ98" s="166"/>
      <c r="CR98" s="166"/>
      <c r="CS98" s="166"/>
      <c r="CT98" s="166"/>
      <c r="CU98" s="166"/>
      <c r="CV98" s="166"/>
      <c r="CW98" s="166"/>
      <c r="CX98" s="166"/>
      <c r="CY98" s="166"/>
      <c r="CZ98" s="166"/>
      <c r="DA98" s="166"/>
      <c r="DB98" s="166"/>
      <c r="DC98" s="166"/>
      <c r="DD98" s="166"/>
      <c r="DE98" s="166"/>
      <c r="DF98" s="166"/>
      <c r="DG98" s="166"/>
      <c r="DH98" s="166"/>
      <c r="DI98" s="166"/>
      <c r="DJ98" s="166"/>
      <c r="DK98" s="166"/>
      <c r="DL98" s="166"/>
      <c r="DM98" s="166"/>
      <c r="DN98" s="166"/>
      <c r="DO98" s="166"/>
      <c r="DP98" s="166"/>
      <c r="DQ98" s="166"/>
      <c r="DR98" s="166"/>
      <c r="DS98" s="166"/>
      <c r="DT98" s="166"/>
      <c r="DU98" s="166"/>
      <c r="DV98" s="166"/>
      <c r="DW98" s="166"/>
      <c r="DX98" s="166"/>
      <c r="DY98" s="166"/>
      <c r="DZ98" s="166"/>
      <c r="EA98" s="166"/>
      <c r="EB98" s="166"/>
      <c r="EC98" s="166"/>
      <c r="ED98" s="166"/>
      <c r="EE98" s="166"/>
      <c r="EF98" s="166"/>
      <c r="EG98" s="166"/>
      <c r="EH98" s="166"/>
      <c r="EI98" s="166"/>
      <c r="EJ98" s="166"/>
      <c r="EK98" s="166"/>
      <c r="EL98" s="166"/>
      <c r="EM98" s="166"/>
      <c r="EN98" s="166"/>
      <c r="EO98" s="166"/>
      <c r="EP98" s="166"/>
      <c r="EQ98" s="166"/>
      <c r="ER98" s="166"/>
      <c r="ES98" s="166"/>
      <c r="ET98" s="166"/>
      <c r="EU98" s="166"/>
      <c r="EV98" s="166"/>
      <c r="EW98" s="166"/>
      <c r="EX98" s="166"/>
      <c r="EY98" s="166"/>
      <c r="EZ98" s="166"/>
      <c r="FA98" s="166"/>
      <c r="FB98" s="166"/>
      <c r="FC98" s="166"/>
      <c r="FD98" s="166"/>
      <c r="FE98" s="166"/>
      <c r="FF98" s="166"/>
      <c r="FG98" s="166"/>
      <c r="FH98" s="166"/>
      <c r="FI98" s="166"/>
      <c r="FJ98" s="166"/>
      <c r="FK98" s="166"/>
      <c r="FL98" s="166"/>
      <c r="FM98" s="166"/>
      <c r="FN98" s="166"/>
      <c r="FO98" s="166"/>
      <c r="FP98" s="166"/>
      <c r="FQ98" s="166"/>
      <c r="FR98" s="166"/>
      <c r="FS98" s="166"/>
      <c r="FT98" s="166"/>
      <c r="FU98" s="166"/>
      <c r="FV98" s="166"/>
      <c r="FW98" s="166"/>
      <c r="FX98" s="166"/>
      <c r="FY98" s="166"/>
      <c r="FZ98" s="166"/>
      <c r="GA98" s="166"/>
      <c r="GB98" s="166"/>
      <c r="GC98" s="166"/>
      <c r="GD98" s="166"/>
      <c r="GE98" s="166"/>
      <c r="GF98" s="166"/>
      <c r="GG98" s="166"/>
      <c r="GH98" s="166"/>
      <c r="GI98" s="166"/>
      <c r="GJ98" s="166"/>
      <c r="GK98" s="166"/>
      <c r="GL98" s="166"/>
      <c r="GM98" s="166"/>
      <c r="GN98" s="166"/>
      <c r="GO98" s="166"/>
      <c r="GP98" s="166"/>
      <c r="GQ98" s="166"/>
      <c r="GR98" s="166"/>
      <c r="GS98" s="166"/>
      <c r="GT98" s="166"/>
      <c r="GU98" s="166"/>
      <c r="GV98" s="166"/>
      <c r="GW98" s="166"/>
      <c r="GX98" s="166"/>
      <c r="GY98" s="166"/>
      <c r="GZ98" s="166"/>
      <c r="HA98" s="166"/>
      <c r="HB98" s="166"/>
      <c r="HC98" s="166"/>
      <c r="HD98" s="166"/>
      <c r="HE98" s="166"/>
      <c r="HF98" s="166"/>
      <c r="HG98" s="166"/>
      <c r="HH98" s="166"/>
      <c r="HI98" s="166"/>
      <c r="HJ98" s="166"/>
      <c r="HK98" s="166"/>
      <c r="HL98" s="166"/>
      <c r="HM98" s="166"/>
      <c r="HN98" s="166"/>
      <c r="HO98" s="166"/>
      <c r="HP98" s="166"/>
      <c r="HQ98" s="166"/>
      <c r="HR98" s="166"/>
      <c r="HS98" s="166"/>
      <c r="HT98" s="166"/>
      <c r="HU98" s="166"/>
      <c r="HV98" s="166"/>
      <c r="HW98" s="166"/>
      <c r="HX98" s="166"/>
      <c r="HY98" s="166"/>
      <c r="HZ98" s="166"/>
      <c r="IA98" s="166"/>
      <c r="IB98" s="166"/>
      <c r="IC98" s="166"/>
      <c r="ID98" s="166"/>
      <c r="IE98" s="166"/>
      <c r="IF98" s="166"/>
      <c r="IG98" s="166"/>
      <c r="IH98" s="166"/>
      <c r="II98" s="166"/>
      <c r="IJ98" s="166"/>
      <c r="IK98" s="166"/>
      <c r="IL98" s="166"/>
      <c r="IM98" s="166"/>
      <c r="IN98" s="166"/>
      <c r="IO98" s="166"/>
      <c r="IP98" s="166"/>
      <c r="IQ98" s="166"/>
      <c r="IR98" s="166"/>
      <c r="IS98" s="166"/>
      <c r="IT98" s="166"/>
      <c r="IU98" s="166"/>
      <c r="IV98" s="166"/>
    </row>
    <row r="99" spans="1:256" x14ac:dyDescent="0.25">
      <c r="A99" s="325">
        <f>IF(Info!$J$3&gt;0,Info!$J$3+B99, )</f>
        <v>0</v>
      </c>
      <c r="B99" s="215">
        <v>86</v>
      </c>
      <c r="C99" s="299"/>
      <c r="D99" s="211"/>
      <c r="E99" s="294"/>
      <c r="F99" s="294"/>
      <c r="G99" s="211"/>
      <c r="H99" s="211"/>
      <c r="I99" s="211"/>
      <c r="J99" s="205"/>
      <c r="K99" s="38"/>
      <c r="L99" s="166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  <c r="BK99" s="166"/>
      <c r="BL99" s="166"/>
      <c r="BM99" s="166"/>
      <c r="BN99" s="166"/>
      <c r="BO99" s="166"/>
      <c r="BP99" s="166"/>
      <c r="BQ99" s="166"/>
      <c r="BR99" s="166"/>
      <c r="BS99" s="166"/>
      <c r="BT99" s="166"/>
      <c r="BU99" s="166"/>
      <c r="BV99" s="166"/>
      <c r="BW99" s="166"/>
      <c r="BX99" s="166"/>
      <c r="BY99" s="166"/>
      <c r="BZ99" s="166"/>
      <c r="CA99" s="166"/>
      <c r="CB99" s="166"/>
      <c r="CC99" s="166"/>
      <c r="CD99" s="166"/>
      <c r="CE99" s="166"/>
      <c r="CF99" s="166"/>
      <c r="CG99" s="166"/>
      <c r="CH99" s="166"/>
      <c r="CI99" s="166"/>
      <c r="CJ99" s="166"/>
      <c r="CK99" s="166"/>
      <c r="CL99" s="166"/>
      <c r="CM99" s="166"/>
      <c r="CN99" s="166"/>
      <c r="CO99" s="166"/>
      <c r="CP99" s="166"/>
      <c r="CQ99" s="166"/>
      <c r="CR99" s="166"/>
      <c r="CS99" s="166"/>
      <c r="CT99" s="166"/>
      <c r="CU99" s="166"/>
      <c r="CV99" s="166"/>
      <c r="CW99" s="166"/>
      <c r="CX99" s="166"/>
      <c r="CY99" s="166"/>
      <c r="CZ99" s="166"/>
      <c r="DA99" s="166"/>
      <c r="DB99" s="166"/>
      <c r="DC99" s="166"/>
      <c r="DD99" s="166"/>
      <c r="DE99" s="166"/>
      <c r="DF99" s="166"/>
      <c r="DG99" s="166"/>
      <c r="DH99" s="166"/>
      <c r="DI99" s="166"/>
      <c r="DJ99" s="166"/>
      <c r="DK99" s="166"/>
      <c r="DL99" s="166"/>
      <c r="DM99" s="166"/>
      <c r="DN99" s="166"/>
      <c r="DO99" s="166"/>
      <c r="DP99" s="166"/>
      <c r="DQ99" s="166"/>
      <c r="DR99" s="166"/>
      <c r="DS99" s="166"/>
      <c r="DT99" s="166"/>
      <c r="DU99" s="166"/>
      <c r="DV99" s="166"/>
      <c r="DW99" s="166"/>
      <c r="DX99" s="166"/>
      <c r="DY99" s="166"/>
      <c r="DZ99" s="166"/>
      <c r="EA99" s="166"/>
      <c r="EB99" s="166"/>
      <c r="EC99" s="166"/>
      <c r="ED99" s="166"/>
      <c r="EE99" s="166"/>
      <c r="EF99" s="166"/>
      <c r="EG99" s="166"/>
      <c r="EH99" s="166"/>
      <c r="EI99" s="166"/>
      <c r="EJ99" s="166"/>
      <c r="EK99" s="166"/>
      <c r="EL99" s="166"/>
      <c r="EM99" s="166"/>
      <c r="EN99" s="166"/>
      <c r="EO99" s="166"/>
      <c r="EP99" s="166"/>
      <c r="EQ99" s="166"/>
      <c r="ER99" s="166"/>
      <c r="ES99" s="166"/>
      <c r="ET99" s="166"/>
      <c r="EU99" s="166"/>
      <c r="EV99" s="166"/>
      <c r="EW99" s="166"/>
      <c r="EX99" s="166"/>
      <c r="EY99" s="166"/>
      <c r="EZ99" s="166"/>
      <c r="FA99" s="166"/>
      <c r="FB99" s="166"/>
      <c r="FC99" s="166"/>
      <c r="FD99" s="166"/>
      <c r="FE99" s="166"/>
      <c r="FF99" s="166"/>
      <c r="FG99" s="166"/>
      <c r="FH99" s="166"/>
      <c r="FI99" s="166"/>
      <c r="FJ99" s="166"/>
      <c r="FK99" s="166"/>
      <c r="FL99" s="166"/>
      <c r="FM99" s="166"/>
      <c r="FN99" s="166"/>
      <c r="FO99" s="166"/>
      <c r="FP99" s="166"/>
      <c r="FQ99" s="166"/>
      <c r="FR99" s="166"/>
      <c r="FS99" s="166"/>
      <c r="FT99" s="166"/>
      <c r="FU99" s="166"/>
      <c r="FV99" s="166"/>
      <c r="FW99" s="166"/>
      <c r="FX99" s="166"/>
      <c r="FY99" s="166"/>
      <c r="FZ99" s="166"/>
      <c r="GA99" s="166"/>
      <c r="GB99" s="166"/>
      <c r="GC99" s="166"/>
      <c r="GD99" s="166"/>
      <c r="GE99" s="166"/>
      <c r="GF99" s="166"/>
      <c r="GG99" s="166"/>
      <c r="GH99" s="166"/>
      <c r="GI99" s="166"/>
      <c r="GJ99" s="166"/>
      <c r="GK99" s="166"/>
      <c r="GL99" s="166"/>
      <c r="GM99" s="166"/>
      <c r="GN99" s="166"/>
      <c r="GO99" s="166"/>
      <c r="GP99" s="166"/>
      <c r="GQ99" s="166"/>
      <c r="GR99" s="166"/>
      <c r="GS99" s="166"/>
      <c r="GT99" s="166"/>
      <c r="GU99" s="166"/>
      <c r="GV99" s="166"/>
      <c r="GW99" s="166"/>
      <c r="GX99" s="166"/>
      <c r="GY99" s="166"/>
      <c r="GZ99" s="166"/>
      <c r="HA99" s="166"/>
      <c r="HB99" s="166"/>
      <c r="HC99" s="166"/>
      <c r="HD99" s="166"/>
      <c r="HE99" s="166"/>
      <c r="HF99" s="166"/>
      <c r="HG99" s="166"/>
      <c r="HH99" s="166"/>
      <c r="HI99" s="166"/>
      <c r="HJ99" s="166"/>
      <c r="HK99" s="166"/>
      <c r="HL99" s="166"/>
      <c r="HM99" s="166"/>
      <c r="HN99" s="166"/>
      <c r="HO99" s="166"/>
      <c r="HP99" s="166"/>
      <c r="HQ99" s="166"/>
      <c r="HR99" s="166"/>
      <c r="HS99" s="166"/>
      <c r="HT99" s="166"/>
      <c r="HU99" s="166"/>
      <c r="HV99" s="166"/>
      <c r="HW99" s="166"/>
      <c r="HX99" s="166"/>
      <c r="HY99" s="166"/>
      <c r="HZ99" s="166"/>
      <c r="IA99" s="166"/>
      <c r="IB99" s="166"/>
      <c r="IC99" s="166"/>
      <c r="ID99" s="166"/>
      <c r="IE99" s="166"/>
      <c r="IF99" s="166"/>
      <c r="IG99" s="166"/>
      <c r="IH99" s="166"/>
      <c r="II99" s="166"/>
      <c r="IJ99" s="166"/>
      <c r="IK99" s="166"/>
      <c r="IL99" s="166"/>
      <c r="IM99" s="166"/>
      <c r="IN99" s="166"/>
      <c r="IO99" s="166"/>
      <c r="IP99" s="166"/>
      <c r="IQ99" s="166"/>
      <c r="IR99" s="166"/>
      <c r="IS99" s="166"/>
      <c r="IT99" s="166"/>
      <c r="IU99" s="166"/>
      <c r="IV99" s="166"/>
    </row>
    <row r="100" spans="1:256" x14ac:dyDescent="0.25">
      <c r="A100" s="325">
        <f>IF(Info!$J$3&gt;0,Info!$J$3+B100, )</f>
        <v>0</v>
      </c>
      <c r="B100" s="215">
        <v>87</v>
      </c>
      <c r="C100" s="300"/>
      <c r="D100" s="211"/>
      <c r="E100" s="294"/>
      <c r="F100" s="294"/>
      <c r="G100" s="211"/>
      <c r="H100" s="211"/>
      <c r="I100" s="211"/>
      <c r="J100" s="205"/>
      <c r="K100" s="38"/>
      <c r="L100" s="166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  <c r="BK100" s="166"/>
      <c r="BL100" s="166"/>
      <c r="BM100" s="166"/>
      <c r="BN100" s="166"/>
      <c r="BO100" s="166"/>
      <c r="BP100" s="166"/>
      <c r="BQ100" s="166"/>
      <c r="BR100" s="166"/>
      <c r="BS100" s="166"/>
      <c r="BT100" s="166"/>
      <c r="BU100" s="166"/>
      <c r="BV100" s="166"/>
      <c r="BW100" s="166"/>
      <c r="BX100" s="166"/>
      <c r="BY100" s="166"/>
      <c r="BZ100" s="166"/>
      <c r="CA100" s="166"/>
      <c r="CB100" s="166"/>
      <c r="CC100" s="166"/>
      <c r="CD100" s="166"/>
      <c r="CE100" s="166"/>
      <c r="CF100" s="166"/>
      <c r="CG100" s="166"/>
      <c r="CH100" s="166"/>
      <c r="CI100" s="166"/>
      <c r="CJ100" s="166"/>
      <c r="CK100" s="166"/>
      <c r="CL100" s="166"/>
      <c r="CM100" s="166"/>
      <c r="CN100" s="166"/>
      <c r="CO100" s="166"/>
      <c r="CP100" s="166"/>
      <c r="CQ100" s="166"/>
      <c r="CR100" s="166"/>
      <c r="CS100" s="166"/>
      <c r="CT100" s="166"/>
      <c r="CU100" s="166"/>
      <c r="CV100" s="166"/>
      <c r="CW100" s="166"/>
      <c r="CX100" s="166"/>
      <c r="CY100" s="166"/>
      <c r="CZ100" s="166"/>
      <c r="DA100" s="166"/>
      <c r="DB100" s="166"/>
      <c r="DC100" s="166"/>
      <c r="DD100" s="166"/>
      <c r="DE100" s="166"/>
      <c r="DF100" s="166"/>
      <c r="DG100" s="166"/>
      <c r="DH100" s="166"/>
      <c r="DI100" s="166"/>
      <c r="DJ100" s="166"/>
      <c r="DK100" s="166"/>
      <c r="DL100" s="166"/>
      <c r="DM100" s="166"/>
      <c r="DN100" s="166"/>
      <c r="DO100" s="166"/>
      <c r="DP100" s="166"/>
      <c r="DQ100" s="166"/>
      <c r="DR100" s="166"/>
      <c r="DS100" s="166"/>
      <c r="DT100" s="166"/>
      <c r="DU100" s="166"/>
      <c r="DV100" s="166"/>
      <c r="DW100" s="166"/>
      <c r="DX100" s="166"/>
      <c r="DY100" s="166"/>
      <c r="DZ100" s="166"/>
      <c r="EA100" s="166"/>
      <c r="EB100" s="166"/>
      <c r="EC100" s="166"/>
      <c r="ED100" s="166"/>
      <c r="EE100" s="166"/>
      <c r="EF100" s="166"/>
      <c r="EG100" s="166"/>
      <c r="EH100" s="166"/>
      <c r="EI100" s="166"/>
      <c r="EJ100" s="166"/>
      <c r="EK100" s="166"/>
      <c r="EL100" s="166"/>
      <c r="EM100" s="166"/>
      <c r="EN100" s="166"/>
      <c r="EO100" s="166"/>
      <c r="EP100" s="166"/>
      <c r="EQ100" s="166"/>
      <c r="ER100" s="166"/>
      <c r="ES100" s="166"/>
      <c r="ET100" s="166"/>
      <c r="EU100" s="166"/>
      <c r="EV100" s="166"/>
      <c r="EW100" s="166"/>
      <c r="EX100" s="166"/>
      <c r="EY100" s="166"/>
      <c r="EZ100" s="166"/>
      <c r="FA100" s="166"/>
      <c r="FB100" s="166"/>
      <c r="FC100" s="166"/>
      <c r="FD100" s="166"/>
      <c r="FE100" s="166"/>
      <c r="FF100" s="166"/>
      <c r="FG100" s="166"/>
      <c r="FH100" s="166"/>
      <c r="FI100" s="166"/>
      <c r="FJ100" s="166"/>
      <c r="FK100" s="166"/>
      <c r="FL100" s="166"/>
      <c r="FM100" s="166"/>
      <c r="FN100" s="166"/>
      <c r="FO100" s="166"/>
      <c r="FP100" s="166"/>
      <c r="FQ100" s="166"/>
      <c r="FR100" s="166"/>
      <c r="FS100" s="166"/>
      <c r="FT100" s="166"/>
      <c r="FU100" s="166"/>
      <c r="FV100" s="166"/>
      <c r="FW100" s="166"/>
      <c r="FX100" s="166"/>
      <c r="FY100" s="166"/>
      <c r="FZ100" s="166"/>
      <c r="GA100" s="166"/>
      <c r="GB100" s="166"/>
      <c r="GC100" s="166"/>
      <c r="GD100" s="166"/>
      <c r="GE100" s="166"/>
      <c r="GF100" s="166"/>
      <c r="GG100" s="166"/>
      <c r="GH100" s="166"/>
      <c r="GI100" s="166"/>
      <c r="GJ100" s="166"/>
      <c r="GK100" s="166"/>
      <c r="GL100" s="166"/>
      <c r="GM100" s="166"/>
      <c r="GN100" s="166"/>
      <c r="GO100" s="166"/>
      <c r="GP100" s="166"/>
      <c r="GQ100" s="166"/>
      <c r="GR100" s="166"/>
      <c r="GS100" s="166"/>
      <c r="GT100" s="166"/>
      <c r="GU100" s="166"/>
      <c r="GV100" s="166"/>
      <c r="GW100" s="166"/>
      <c r="GX100" s="166"/>
      <c r="GY100" s="166"/>
      <c r="GZ100" s="166"/>
      <c r="HA100" s="166"/>
      <c r="HB100" s="166"/>
      <c r="HC100" s="166"/>
      <c r="HD100" s="166"/>
      <c r="HE100" s="166"/>
      <c r="HF100" s="166"/>
      <c r="HG100" s="166"/>
      <c r="HH100" s="166"/>
      <c r="HI100" s="166"/>
      <c r="HJ100" s="166"/>
      <c r="HK100" s="166"/>
      <c r="HL100" s="166"/>
      <c r="HM100" s="166"/>
      <c r="HN100" s="166"/>
      <c r="HO100" s="166"/>
      <c r="HP100" s="166"/>
      <c r="HQ100" s="166"/>
      <c r="HR100" s="166"/>
      <c r="HS100" s="166"/>
      <c r="HT100" s="166"/>
      <c r="HU100" s="166"/>
      <c r="HV100" s="166"/>
      <c r="HW100" s="166"/>
      <c r="HX100" s="166"/>
      <c r="HY100" s="166"/>
      <c r="HZ100" s="166"/>
      <c r="IA100" s="166"/>
      <c r="IB100" s="166"/>
      <c r="IC100" s="166"/>
      <c r="ID100" s="166"/>
      <c r="IE100" s="166"/>
      <c r="IF100" s="166"/>
      <c r="IG100" s="166"/>
      <c r="IH100" s="166"/>
      <c r="II100" s="166"/>
      <c r="IJ100" s="166"/>
      <c r="IK100" s="166"/>
      <c r="IL100" s="166"/>
      <c r="IM100" s="166"/>
      <c r="IN100" s="166"/>
      <c r="IO100" s="166"/>
      <c r="IP100" s="166"/>
      <c r="IQ100" s="166"/>
      <c r="IR100" s="166"/>
      <c r="IS100" s="166"/>
      <c r="IT100" s="166"/>
      <c r="IU100" s="166"/>
      <c r="IV100" s="166"/>
    </row>
    <row r="101" spans="1:256" x14ac:dyDescent="0.25">
      <c r="A101" s="325">
        <f>IF(Info!$J$3&gt;0,Info!$J$3+B101, )</f>
        <v>0</v>
      </c>
      <c r="B101" s="215">
        <v>88</v>
      </c>
      <c r="C101" s="299"/>
      <c r="D101" s="211"/>
      <c r="E101" s="294"/>
      <c r="F101" s="294"/>
      <c r="G101" s="211"/>
      <c r="H101" s="211"/>
      <c r="I101" s="211"/>
      <c r="J101" s="205"/>
      <c r="K101" s="38"/>
      <c r="L101" s="166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  <c r="BK101" s="166"/>
      <c r="BL101" s="166"/>
      <c r="BM101" s="166"/>
      <c r="BN101" s="166"/>
      <c r="BO101" s="166"/>
      <c r="BP101" s="166"/>
      <c r="BQ101" s="166"/>
      <c r="BR101" s="166"/>
      <c r="BS101" s="166"/>
      <c r="BT101" s="166"/>
      <c r="BU101" s="166"/>
      <c r="BV101" s="166"/>
      <c r="BW101" s="166"/>
      <c r="BX101" s="166"/>
      <c r="BY101" s="166"/>
      <c r="BZ101" s="166"/>
      <c r="CA101" s="166"/>
      <c r="CB101" s="166"/>
      <c r="CC101" s="166"/>
      <c r="CD101" s="166"/>
      <c r="CE101" s="166"/>
      <c r="CF101" s="166"/>
      <c r="CG101" s="166"/>
      <c r="CH101" s="166"/>
      <c r="CI101" s="166"/>
      <c r="CJ101" s="166"/>
      <c r="CK101" s="166"/>
      <c r="CL101" s="166"/>
      <c r="CM101" s="166"/>
      <c r="CN101" s="166"/>
      <c r="CO101" s="166"/>
      <c r="CP101" s="166"/>
      <c r="CQ101" s="166"/>
      <c r="CR101" s="166"/>
      <c r="CS101" s="166"/>
      <c r="CT101" s="166"/>
      <c r="CU101" s="166"/>
      <c r="CV101" s="166"/>
      <c r="CW101" s="166"/>
      <c r="CX101" s="166"/>
      <c r="CY101" s="166"/>
      <c r="CZ101" s="166"/>
      <c r="DA101" s="166"/>
      <c r="DB101" s="166"/>
      <c r="DC101" s="166"/>
      <c r="DD101" s="166"/>
      <c r="DE101" s="166"/>
      <c r="DF101" s="166"/>
      <c r="DG101" s="166"/>
      <c r="DH101" s="166"/>
      <c r="DI101" s="166"/>
      <c r="DJ101" s="166"/>
      <c r="DK101" s="166"/>
      <c r="DL101" s="166"/>
      <c r="DM101" s="166"/>
      <c r="DN101" s="166"/>
      <c r="DO101" s="166"/>
      <c r="DP101" s="166"/>
      <c r="DQ101" s="166"/>
      <c r="DR101" s="166"/>
      <c r="DS101" s="166"/>
      <c r="DT101" s="166"/>
      <c r="DU101" s="166"/>
      <c r="DV101" s="166"/>
      <c r="DW101" s="166"/>
      <c r="DX101" s="166"/>
      <c r="DY101" s="166"/>
      <c r="DZ101" s="166"/>
      <c r="EA101" s="166"/>
      <c r="EB101" s="166"/>
      <c r="EC101" s="166"/>
      <c r="ED101" s="166"/>
      <c r="EE101" s="166"/>
      <c r="EF101" s="166"/>
      <c r="EG101" s="166"/>
      <c r="EH101" s="166"/>
      <c r="EI101" s="166"/>
      <c r="EJ101" s="166"/>
      <c r="EK101" s="166"/>
      <c r="EL101" s="166"/>
      <c r="EM101" s="166"/>
      <c r="EN101" s="166"/>
      <c r="EO101" s="166"/>
      <c r="EP101" s="166"/>
      <c r="EQ101" s="166"/>
      <c r="ER101" s="166"/>
      <c r="ES101" s="166"/>
      <c r="ET101" s="166"/>
      <c r="EU101" s="166"/>
      <c r="EV101" s="166"/>
      <c r="EW101" s="166"/>
      <c r="EX101" s="166"/>
      <c r="EY101" s="166"/>
      <c r="EZ101" s="166"/>
      <c r="FA101" s="166"/>
      <c r="FB101" s="166"/>
      <c r="FC101" s="166"/>
      <c r="FD101" s="166"/>
      <c r="FE101" s="166"/>
      <c r="FF101" s="166"/>
      <c r="FG101" s="166"/>
      <c r="FH101" s="166"/>
      <c r="FI101" s="166"/>
      <c r="FJ101" s="166"/>
      <c r="FK101" s="166"/>
      <c r="FL101" s="166"/>
      <c r="FM101" s="166"/>
      <c r="FN101" s="166"/>
      <c r="FO101" s="166"/>
      <c r="FP101" s="166"/>
      <c r="FQ101" s="166"/>
      <c r="FR101" s="166"/>
      <c r="FS101" s="166"/>
      <c r="FT101" s="166"/>
      <c r="FU101" s="166"/>
      <c r="FV101" s="166"/>
      <c r="FW101" s="166"/>
      <c r="FX101" s="166"/>
      <c r="FY101" s="166"/>
      <c r="FZ101" s="166"/>
      <c r="GA101" s="166"/>
      <c r="GB101" s="166"/>
      <c r="GC101" s="166"/>
      <c r="GD101" s="166"/>
      <c r="GE101" s="166"/>
      <c r="GF101" s="166"/>
      <c r="GG101" s="166"/>
      <c r="GH101" s="166"/>
      <c r="GI101" s="166"/>
      <c r="GJ101" s="166"/>
      <c r="GK101" s="166"/>
      <c r="GL101" s="166"/>
      <c r="GM101" s="166"/>
      <c r="GN101" s="166"/>
      <c r="GO101" s="166"/>
      <c r="GP101" s="166"/>
      <c r="GQ101" s="166"/>
      <c r="GR101" s="166"/>
      <c r="GS101" s="166"/>
      <c r="GT101" s="166"/>
      <c r="GU101" s="166"/>
      <c r="GV101" s="166"/>
      <c r="GW101" s="166"/>
      <c r="GX101" s="166"/>
      <c r="GY101" s="166"/>
      <c r="GZ101" s="166"/>
      <c r="HA101" s="166"/>
      <c r="HB101" s="166"/>
      <c r="HC101" s="166"/>
      <c r="HD101" s="166"/>
      <c r="HE101" s="166"/>
      <c r="HF101" s="166"/>
      <c r="HG101" s="166"/>
      <c r="HH101" s="166"/>
      <c r="HI101" s="166"/>
      <c r="HJ101" s="166"/>
      <c r="HK101" s="166"/>
      <c r="HL101" s="166"/>
      <c r="HM101" s="166"/>
      <c r="HN101" s="166"/>
      <c r="HO101" s="166"/>
      <c r="HP101" s="166"/>
      <c r="HQ101" s="166"/>
      <c r="HR101" s="166"/>
      <c r="HS101" s="166"/>
      <c r="HT101" s="166"/>
      <c r="HU101" s="166"/>
      <c r="HV101" s="166"/>
      <c r="HW101" s="166"/>
      <c r="HX101" s="166"/>
      <c r="HY101" s="166"/>
      <c r="HZ101" s="166"/>
      <c r="IA101" s="166"/>
      <c r="IB101" s="166"/>
      <c r="IC101" s="166"/>
      <c r="ID101" s="166"/>
      <c r="IE101" s="166"/>
      <c r="IF101" s="166"/>
      <c r="IG101" s="166"/>
      <c r="IH101" s="166"/>
      <c r="II101" s="166"/>
      <c r="IJ101" s="166"/>
      <c r="IK101" s="166"/>
      <c r="IL101" s="166"/>
      <c r="IM101" s="166"/>
      <c r="IN101" s="166"/>
      <c r="IO101" s="166"/>
      <c r="IP101" s="166"/>
      <c r="IQ101" s="166"/>
      <c r="IR101" s="166"/>
      <c r="IS101" s="166"/>
      <c r="IT101" s="166"/>
      <c r="IU101" s="166"/>
      <c r="IV101" s="166"/>
    </row>
    <row r="102" spans="1:256" x14ac:dyDescent="0.25">
      <c r="A102" s="325">
        <f>IF(Info!$J$3&gt;0,Info!$J$3+B102, )</f>
        <v>0</v>
      </c>
      <c r="B102" s="215">
        <v>89</v>
      </c>
      <c r="C102" s="299"/>
      <c r="D102" s="211"/>
      <c r="E102" s="294"/>
      <c r="F102" s="294"/>
      <c r="G102" s="211"/>
      <c r="H102" s="211"/>
      <c r="I102" s="211"/>
      <c r="J102" s="205"/>
      <c r="K102" s="38"/>
      <c r="L102" s="166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  <c r="BK102" s="166"/>
      <c r="BL102" s="166"/>
      <c r="BM102" s="166"/>
      <c r="BN102" s="166"/>
      <c r="BO102" s="166"/>
      <c r="BP102" s="166"/>
      <c r="BQ102" s="166"/>
      <c r="BR102" s="166"/>
      <c r="BS102" s="166"/>
      <c r="BT102" s="166"/>
      <c r="BU102" s="166"/>
      <c r="BV102" s="166"/>
      <c r="BW102" s="166"/>
      <c r="BX102" s="166"/>
      <c r="BY102" s="166"/>
      <c r="BZ102" s="166"/>
      <c r="CA102" s="166"/>
      <c r="CB102" s="166"/>
      <c r="CC102" s="166"/>
      <c r="CD102" s="166"/>
      <c r="CE102" s="166"/>
      <c r="CF102" s="166"/>
      <c r="CG102" s="166"/>
      <c r="CH102" s="166"/>
      <c r="CI102" s="166"/>
      <c r="CJ102" s="166"/>
      <c r="CK102" s="166"/>
      <c r="CL102" s="166"/>
      <c r="CM102" s="166"/>
      <c r="CN102" s="166"/>
      <c r="CO102" s="166"/>
      <c r="CP102" s="166"/>
      <c r="CQ102" s="166"/>
      <c r="CR102" s="166"/>
      <c r="CS102" s="166"/>
      <c r="CT102" s="166"/>
      <c r="CU102" s="166"/>
      <c r="CV102" s="166"/>
      <c r="CW102" s="166"/>
      <c r="CX102" s="166"/>
      <c r="CY102" s="166"/>
      <c r="CZ102" s="166"/>
      <c r="DA102" s="166"/>
      <c r="DB102" s="166"/>
      <c r="DC102" s="166"/>
      <c r="DD102" s="166"/>
      <c r="DE102" s="166"/>
      <c r="DF102" s="166"/>
      <c r="DG102" s="166"/>
      <c r="DH102" s="166"/>
      <c r="DI102" s="166"/>
      <c r="DJ102" s="166"/>
      <c r="DK102" s="166"/>
      <c r="DL102" s="166"/>
      <c r="DM102" s="166"/>
      <c r="DN102" s="166"/>
      <c r="DO102" s="166"/>
      <c r="DP102" s="166"/>
      <c r="DQ102" s="166"/>
      <c r="DR102" s="166"/>
      <c r="DS102" s="166"/>
      <c r="DT102" s="166"/>
      <c r="DU102" s="166"/>
      <c r="DV102" s="166"/>
      <c r="DW102" s="166"/>
      <c r="DX102" s="166"/>
      <c r="DY102" s="166"/>
      <c r="DZ102" s="166"/>
      <c r="EA102" s="166"/>
      <c r="EB102" s="166"/>
      <c r="EC102" s="166"/>
      <c r="ED102" s="166"/>
      <c r="EE102" s="166"/>
      <c r="EF102" s="166"/>
      <c r="EG102" s="166"/>
      <c r="EH102" s="166"/>
      <c r="EI102" s="166"/>
      <c r="EJ102" s="166"/>
      <c r="EK102" s="166"/>
      <c r="EL102" s="166"/>
      <c r="EM102" s="166"/>
      <c r="EN102" s="166"/>
      <c r="EO102" s="166"/>
      <c r="EP102" s="166"/>
      <c r="EQ102" s="166"/>
      <c r="ER102" s="166"/>
      <c r="ES102" s="166"/>
      <c r="ET102" s="166"/>
      <c r="EU102" s="166"/>
      <c r="EV102" s="166"/>
      <c r="EW102" s="166"/>
      <c r="EX102" s="166"/>
      <c r="EY102" s="166"/>
      <c r="EZ102" s="166"/>
      <c r="FA102" s="166"/>
      <c r="FB102" s="166"/>
      <c r="FC102" s="166"/>
      <c r="FD102" s="166"/>
      <c r="FE102" s="166"/>
      <c r="FF102" s="166"/>
      <c r="FG102" s="166"/>
      <c r="FH102" s="166"/>
      <c r="FI102" s="166"/>
      <c r="FJ102" s="166"/>
      <c r="FK102" s="166"/>
      <c r="FL102" s="166"/>
      <c r="FM102" s="166"/>
      <c r="FN102" s="166"/>
      <c r="FO102" s="166"/>
      <c r="FP102" s="166"/>
      <c r="FQ102" s="166"/>
      <c r="FR102" s="166"/>
      <c r="FS102" s="166"/>
      <c r="FT102" s="166"/>
      <c r="FU102" s="166"/>
      <c r="FV102" s="166"/>
      <c r="FW102" s="166"/>
      <c r="FX102" s="166"/>
      <c r="FY102" s="166"/>
      <c r="FZ102" s="166"/>
      <c r="GA102" s="166"/>
      <c r="GB102" s="166"/>
      <c r="GC102" s="166"/>
      <c r="GD102" s="166"/>
      <c r="GE102" s="166"/>
      <c r="GF102" s="166"/>
      <c r="GG102" s="166"/>
      <c r="GH102" s="166"/>
      <c r="GI102" s="166"/>
      <c r="GJ102" s="166"/>
      <c r="GK102" s="166"/>
      <c r="GL102" s="166"/>
      <c r="GM102" s="166"/>
      <c r="GN102" s="166"/>
      <c r="GO102" s="166"/>
      <c r="GP102" s="166"/>
      <c r="GQ102" s="166"/>
      <c r="GR102" s="166"/>
      <c r="GS102" s="166"/>
      <c r="GT102" s="166"/>
      <c r="GU102" s="166"/>
      <c r="GV102" s="166"/>
      <c r="GW102" s="166"/>
      <c r="GX102" s="166"/>
      <c r="GY102" s="166"/>
      <c r="GZ102" s="166"/>
      <c r="HA102" s="166"/>
      <c r="HB102" s="166"/>
      <c r="HC102" s="166"/>
      <c r="HD102" s="166"/>
      <c r="HE102" s="166"/>
      <c r="HF102" s="166"/>
      <c r="HG102" s="166"/>
      <c r="HH102" s="166"/>
      <c r="HI102" s="166"/>
      <c r="HJ102" s="166"/>
      <c r="HK102" s="166"/>
      <c r="HL102" s="166"/>
      <c r="HM102" s="166"/>
      <c r="HN102" s="166"/>
      <c r="HO102" s="166"/>
      <c r="HP102" s="166"/>
      <c r="HQ102" s="166"/>
      <c r="HR102" s="166"/>
      <c r="HS102" s="166"/>
      <c r="HT102" s="166"/>
      <c r="HU102" s="166"/>
      <c r="HV102" s="166"/>
      <c r="HW102" s="166"/>
      <c r="HX102" s="166"/>
      <c r="HY102" s="166"/>
      <c r="HZ102" s="166"/>
      <c r="IA102" s="166"/>
      <c r="IB102" s="166"/>
      <c r="IC102" s="166"/>
      <c r="ID102" s="166"/>
      <c r="IE102" s="166"/>
      <c r="IF102" s="166"/>
      <c r="IG102" s="166"/>
      <c r="IH102" s="166"/>
      <c r="II102" s="166"/>
      <c r="IJ102" s="166"/>
      <c r="IK102" s="166"/>
      <c r="IL102" s="166"/>
      <c r="IM102" s="166"/>
      <c r="IN102" s="166"/>
      <c r="IO102" s="166"/>
      <c r="IP102" s="166"/>
      <c r="IQ102" s="166"/>
      <c r="IR102" s="166"/>
      <c r="IS102" s="166"/>
      <c r="IT102" s="166"/>
      <c r="IU102" s="166"/>
      <c r="IV102" s="166"/>
    </row>
    <row r="103" spans="1:256" x14ac:dyDescent="0.25">
      <c r="A103" s="325">
        <f>IF(Info!$J$3&gt;0,Info!$J$3+B103, )</f>
        <v>0</v>
      </c>
      <c r="B103" s="215">
        <v>90</v>
      </c>
      <c r="C103" s="300"/>
      <c r="D103" s="211"/>
      <c r="E103" s="294"/>
      <c r="F103" s="294"/>
      <c r="G103" s="211"/>
      <c r="H103" s="211"/>
      <c r="I103" s="211"/>
      <c r="J103" s="205"/>
      <c r="K103" s="38"/>
      <c r="L103" s="166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  <c r="BK103" s="166"/>
      <c r="BL103" s="166"/>
      <c r="BM103" s="166"/>
      <c r="BN103" s="166"/>
      <c r="BO103" s="166"/>
      <c r="BP103" s="166"/>
      <c r="BQ103" s="166"/>
      <c r="BR103" s="166"/>
      <c r="BS103" s="166"/>
      <c r="BT103" s="166"/>
      <c r="BU103" s="166"/>
      <c r="BV103" s="166"/>
      <c r="BW103" s="166"/>
      <c r="BX103" s="166"/>
      <c r="BY103" s="166"/>
      <c r="BZ103" s="166"/>
      <c r="CA103" s="166"/>
      <c r="CB103" s="166"/>
      <c r="CC103" s="166"/>
      <c r="CD103" s="166"/>
      <c r="CE103" s="166"/>
      <c r="CF103" s="166"/>
      <c r="CG103" s="166"/>
      <c r="CH103" s="166"/>
      <c r="CI103" s="166"/>
      <c r="CJ103" s="166"/>
      <c r="CK103" s="166"/>
      <c r="CL103" s="166"/>
      <c r="CM103" s="166"/>
      <c r="CN103" s="166"/>
      <c r="CO103" s="166"/>
      <c r="CP103" s="166"/>
      <c r="CQ103" s="166"/>
      <c r="CR103" s="166"/>
      <c r="CS103" s="166"/>
      <c r="CT103" s="166"/>
      <c r="CU103" s="166"/>
      <c r="CV103" s="166"/>
      <c r="CW103" s="166"/>
      <c r="CX103" s="166"/>
      <c r="CY103" s="166"/>
      <c r="CZ103" s="166"/>
      <c r="DA103" s="166"/>
      <c r="DB103" s="166"/>
      <c r="DC103" s="166"/>
      <c r="DD103" s="166"/>
      <c r="DE103" s="166"/>
      <c r="DF103" s="166"/>
      <c r="DG103" s="166"/>
      <c r="DH103" s="166"/>
      <c r="DI103" s="166"/>
      <c r="DJ103" s="166"/>
      <c r="DK103" s="166"/>
      <c r="DL103" s="166"/>
      <c r="DM103" s="166"/>
      <c r="DN103" s="166"/>
      <c r="DO103" s="166"/>
      <c r="DP103" s="166"/>
      <c r="DQ103" s="166"/>
      <c r="DR103" s="166"/>
      <c r="DS103" s="166"/>
      <c r="DT103" s="166"/>
      <c r="DU103" s="166"/>
      <c r="DV103" s="166"/>
      <c r="DW103" s="166"/>
      <c r="DX103" s="166"/>
      <c r="DY103" s="166"/>
      <c r="DZ103" s="166"/>
      <c r="EA103" s="166"/>
      <c r="EB103" s="166"/>
      <c r="EC103" s="166"/>
      <c r="ED103" s="166"/>
      <c r="EE103" s="166"/>
      <c r="EF103" s="166"/>
      <c r="EG103" s="166"/>
      <c r="EH103" s="166"/>
      <c r="EI103" s="166"/>
      <c r="EJ103" s="166"/>
      <c r="EK103" s="166"/>
      <c r="EL103" s="166"/>
      <c r="EM103" s="166"/>
      <c r="EN103" s="166"/>
      <c r="EO103" s="166"/>
      <c r="EP103" s="166"/>
      <c r="EQ103" s="166"/>
      <c r="ER103" s="166"/>
      <c r="ES103" s="166"/>
      <c r="ET103" s="166"/>
      <c r="EU103" s="166"/>
      <c r="EV103" s="166"/>
      <c r="EW103" s="166"/>
      <c r="EX103" s="166"/>
      <c r="EY103" s="166"/>
      <c r="EZ103" s="166"/>
      <c r="FA103" s="166"/>
      <c r="FB103" s="166"/>
      <c r="FC103" s="166"/>
      <c r="FD103" s="166"/>
      <c r="FE103" s="166"/>
      <c r="FF103" s="166"/>
      <c r="FG103" s="166"/>
      <c r="FH103" s="166"/>
      <c r="FI103" s="166"/>
      <c r="FJ103" s="166"/>
      <c r="FK103" s="166"/>
      <c r="FL103" s="166"/>
      <c r="FM103" s="166"/>
      <c r="FN103" s="166"/>
      <c r="FO103" s="166"/>
      <c r="FP103" s="166"/>
      <c r="FQ103" s="166"/>
      <c r="FR103" s="166"/>
      <c r="FS103" s="166"/>
      <c r="FT103" s="166"/>
      <c r="FU103" s="166"/>
      <c r="FV103" s="166"/>
      <c r="FW103" s="166"/>
      <c r="FX103" s="166"/>
      <c r="FY103" s="166"/>
      <c r="FZ103" s="166"/>
      <c r="GA103" s="166"/>
      <c r="GB103" s="166"/>
      <c r="GC103" s="166"/>
      <c r="GD103" s="166"/>
      <c r="GE103" s="166"/>
      <c r="GF103" s="166"/>
      <c r="GG103" s="166"/>
      <c r="GH103" s="166"/>
      <c r="GI103" s="166"/>
      <c r="GJ103" s="166"/>
      <c r="GK103" s="166"/>
      <c r="GL103" s="166"/>
      <c r="GM103" s="166"/>
      <c r="GN103" s="166"/>
      <c r="GO103" s="166"/>
      <c r="GP103" s="166"/>
      <c r="GQ103" s="166"/>
      <c r="GR103" s="166"/>
      <c r="GS103" s="166"/>
      <c r="GT103" s="166"/>
      <c r="GU103" s="166"/>
      <c r="GV103" s="166"/>
      <c r="GW103" s="166"/>
      <c r="GX103" s="166"/>
      <c r="GY103" s="166"/>
      <c r="GZ103" s="166"/>
      <c r="HA103" s="166"/>
      <c r="HB103" s="166"/>
      <c r="HC103" s="166"/>
      <c r="HD103" s="166"/>
      <c r="HE103" s="166"/>
      <c r="HF103" s="166"/>
      <c r="HG103" s="166"/>
      <c r="HH103" s="166"/>
      <c r="HI103" s="166"/>
      <c r="HJ103" s="166"/>
      <c r="HK103" s="166"/>
      <c r="HL103" s="166"/>
      <c r="HM103" s="166"/>
      <c r="HN103" s="166"/>
      <c r="HO103" s="166"/>
      <c r="HP103" s="166"/>
      <c r="HQ103" s="166"/>
      <c r="HR103" s="166"/>
      <c r="HS103" s="166"/>
      <c r="HT103" s="166"/>
      <c r="HU103" s="166"/>
      <c r="HV103" s="166"/>
      <c r="HW103" s="166"/>
      <c r="HX103" s="166"/>
      <c r="HY103" s="166"/>
      <c r="HZ103" s="166"/>
      <c r="IA103" s="166"/>
      <c r="IB103" s="166"/>
      <c r="IC103" s="166"/>
      <c r="ID103" s="166"/>
      <c r="IE103" s="166"/>
      <c r="IF103" s="166"/>
      <c r="IG103" s="166"/>
      <c r="IH103" s="166"/>
      <c r="II103" s="166"/>
      <c r="IJ103" s="166"/>
      <c r="IK103" s="166"/>
      <c r="IL103" s="166"/>
      <c r="IM103" s="166"/>
      <c r="IN103" s="166"/>
      <c r="IO103" s="166"/>
      <c r="IP103" s="166"/>
      <c r="IQ103" s="166"/>
      <c r="IR103" s="166"/>
      <c r="IS103" s="166"/>
      <c r="IT103" s="166"/>
      <c r="IU103" s="166"/>
      <c r="IV103" s="166"/>
    </row>
    <row r="104" spans="1:256" x14ac:dyDescent="0.25">
      <c r="A104" s="325">
        <f>IF(Info!$J$3&gt;0,Info!$J$3+B104, )</f>
        <v>0</v>
      </c>
      <c r="B104" s="215">
        <v>91</v>
      </c>
      <c r="C104" s="299"/>
      <c r="D104" s="211"/>
      <c r="E104" s="294"/>
      <c r="F104" s="294"/>
      <c r="G104" s="211"/>
      <c r="H104" s="211"/>
      <c r="I104" s="211"/>
      <c r="J104" s="206"/>
      <c r="K104" s="38"/>
      <c r="L104" s="166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  <c r="BK104" s="166"/>
      <c r="BL104" s="166"/>
      <c r="BM104" s="166"/>
      <c r="BN104" s="166"/>
      <c r="BO104" s="166"/>
      <c r="BP104" s="166"/>
      <c r="BQ104" s="166"/>
      <c r="BR104" s="166"/>
      <c r="BS104" s="166"/>
      <c r="BT104" s="166"/>
      <c r="BU104" s="166"/>
      <c r="BV104" s="166"/>
      <c r="BW104" s="166"/>
      <c r="BX104" s="166"/>
      <c r="BY104" s="166"/>
      <c r="BZ104" s="166"/>
      <c r="CA104" s="166"/>
      <c r="CB104" s="166"/>
      <c r="CC104" s="166"/>
      <c r="CD104" s="166"/>
      <c r="CE104" s="166"/>
      <c r="CF104" s="166"/>
      <c r="CG104" s="166"/>
      <c r="CH104" s="166"/>
      <c r="CI104" s="166"/>
      <c r="CJ104" s="166"/>
      <c r="CK104" s="166"/>
      <c r="CL104" s="166"/>
      <c r="CM104" s="166"/>
      <c r="CN104" s="166"/>
      <c r="CO104" s="166"/>
      <c r="CP104" s="166"/>
      <c r="CQ104" s="166"/>
      <c r="CR104" s="166"/>
      <c r="CS104" s="166"/>
      <c r="CT104" s="166"/>
      <c r="CU104" s="166"/>
      <c r="CV104" s="166"/>
      <c r="CW104" s="166"/>
      <c r="CX104" s="166"/>
      <c r="CY104" s="166"/>
      <c r="CZ104" s="166"/>
      <c r="DA104" s="166"/>
      <c r="DB104" s="166"/>
      <c r="DC104" s="166"/>
      <c r="DD104" s="166"/>
      <c r="DE104" s="166"/>
      <c r="DF104" s="166"/>
      <c r="DG104" s="166"/>
      <c r="DH104" s="166"/>
      <c r="DI104" s="166"/>
      <c r="DJ104" s="166"/>
      <c r="DK104" s="166"/>
      <c r="DL104" s="166"/>
      <c r="DM104" s="166"/>
      <c r="DN104" s="166"/>
      <c r="DO104" s="166"/>
      <c r="DP104" s="166"/>
      <c r="DQ104" s="166"/>
      <c r="DR104" s="166"/>
      <c r="DS104" s="166"/>
      <c r="DT104" s="166"/>
      <c r="DU104" s="166"/>
      <c r="DV104" s="166"/>
      <c r="DW104" s="166"/>
      <c r="DX104" s="166"/>
      <c r="DY104" s="166"/>
      <c r="DZ104" s="166"/>
      <c r="EA104" s="166"/>
      <c r="EB104" s="166"/>
      <c r="EC104" s="166"/>
      <c r="ED104" s="166"/>
      <c r="EE104" s="166"/>
      <c r="EF104" s="166"/>
      <c r="EG104" s="166"/>
      <c r="EH104" s="166"/>
      <c r="EI104" s="166"/>
      <c r="EJ104" s="166"/>
      <c r="EK104" s="166"/>
      <c r="EL104" s="166"/>
      <c r="EM104" s="166"/>
      <c r="EN104" s="166"/>
      <c r="EO104" s="166"/>
      <c r="EP104" s="166"/>
      <c r="EQ104" s="166"/>
      <c r="ER104" s="166"/>
      <c r="ES104" s="166"/>
      <c r="ET104" s="166"/>
      <c r="EU104" s="166"/>
      <c r="EV104" s="166"/>
      <c r="EW104" s="166"/>
      <c r="EX104" s="166"/>
      <c r="EY104" s="166"/>
      <c r="EZ104" s="166"/>
      <c r="FA104" s="166"/>
      <c r="FB104" s="166"/>
      <c r="FC104" s="166"/>
      <c r="FD104" s="166"/>
      <c r="FE104" s="166"/>
      <c r="FF104" s="166"/>
      <c r="FG104" s="166"/>
      <c r="FH104" s="166"/>
      <c r="FI104" s="166"/>
      <c r="FJ104" s="166"/>
      <c r="FK104" s="166"/>
      <c r="FL104" s="166"/>
      <c r="FM104" s="166"/>
      <c r="FN104" s="166"/>
      <c r="FO104" s="166"/>
      <c r="FP104" s="166"/>
      <c r="FQ104" s="166"/>
      <c r="FR104" s="166"/>
      <c r="FS104" s="166"/>
      <c r="FT104" s="166"/>
      <c r="FU104" s="166"/>
      <c r="FV104" s="166"/>
      <c r="FW104" s="166"/>
      <c r="FX104" s="166"/>
      <c r="FY104" s="166"/>
      <c r="FZ104" s="166"/>
      <c r="GA104" s="166"/>
      <c r="GB104" s="166"/>
      <c r="GC104" s="166"/>
      <c r="GD104" s="166"/>
      <c r="GE104" s="166"/>
      <c r="GF104" s="166"/>
      <c r="GG104" s="166"/>
      <c r="GH104" s="166"/>
      <c r="GI104" s="166"/>
      <c r="GJ104" s="166"/>
      <c r="GK104" s="166"/>
      <c r="GL104" s="166"/>
      <c r="GM104" s="166"/>
      <c r="GN104" s="166"/>
      <c r="GO104" s="166"/>
      <c r="GP104" s="166"/>
      <c r="GQ104" s="166"/>
      <c r="GR104" s="166"/>
      <c r="GS104" s="166"/>
      <c r="GT104" s="166"/>
      <c r="GU104" s="166"/>
      <c r="GV104" s="166"/>
      <c r="GW104" s="166"/>
      <c r="GX104" s="166"/>
      <c r="GY104" s="166"/>
      <c r="GZ104" s="166"/>
      <c r="HA104" s="166"/>
      <c r="HB104" s="166"/>
      <c r="HC104" s="166"/>
      <c r="HD104" s="166"/>
      <c r="HE104" s="166"/>
      <c r="HF104" s="166"/>
      <c r="HG104" s="166"/>
      <c r="HH104" s="166"/>
      <c r="HI104" s="166"/>
      <c r="HJ104" s="166"/>
      <c r="HK104" s="166"/>
      <c r="HL104" s="166"/>
      <c r="HM104" s="166"/>
      <c r="HN104" s="166"/>
      <c r="HO104" s="166"/>
      <c r="HP104" s="166"/>
      <c r="HQ104" s="166"/>
      <c r="HR104" s="166"/>
      <c r="HS104" s="166"/>
      <c r="HT104" s="166"/>
      <c r="HU104" s="166"/>
      <c r="HV104" s="166"/>
      <c r="HW104" s="166"/>
      <c r="HX104" s="166"/>
      <c r="HY104" s="166"/>
      <c r="HZ104" s="166"/>
      <c r="IA104" s="166"/>
      <c r="IB104" s="166"/>
      <c r="IC104" s="166"/>
      <c r="ID104" s="166"/>
      <c r="IE104" s="166"/>
      <c r="IF104" s="166"/>
      <c r="IG104" s="166"/>
      <c r="IH104" s="166"/>
      <c r="II104" s="166"/>
      <c r="IJ104" s="166"/>
      <c r="IK104" s="166"/>
      <c r="IL104" s="166"/>
      <c r="IM104" s="166"/>
      <c r="IN104" s="166"/>
      <c r="IO104" s="166"/>
      <c r="IP104" s="166"/>
      <c r="IQ104" s="166"/>
      <c r="IR104" s="166"/>
      <c r="IS104" s="166"/>
      <c r="IT104" s="166"/>
      <c r="IU104" s="166"/>
      <c r="IV104" s="166"/>
    </row>
    <row r="105" spans="1:256" x14ac:dyDescent="0.25">
      <c r="A105" s="326">
        <f>A104</f>
        <v>0</v>
      </c>
      <c r="B105" s="207" t="str">
        <f>Traducción!$B$24&amp;" 13"</f>
        <v>Sem. 13</v>
      </c>
      <c r="C105" s="301">
        <f>SUM(C98:C104)</f>
        <v>0</v>
      </c>
      <c r="D105" s="288">
        <f t="shared" ref="D105" si="30">IFERROR(AVERAGE(D98:D104), )</f>
        <v>0</v>
      </c>
      <c r="E105" s="296">
        <f t="shared" ref="E105:F105" si="31">SUM(E98:E104)</f>
        <v>0</v>
      </c>
      <c r="F105" s="296">
        <f t="shared" si="31"/>
        <v>0</v>
      </c>
      <c r="G105" s="288">
        <f t="shared" ref="G105:I105" si="32">IFERROR(AVERAGE(G98:G104), )</f>
        <v>0</v>
      </c>
      <c r="H105" s="210">
        <f t="shared" si="32"/>
        <v>0</v>
      </c>
      <c r="I105" s="210">
        <f t="shared" si="32"/>
        <v>0</v>
      </c>
      <c r="J105" s="202"/>
      <c r="K105" s="38"/>
      <c r="L105" s="166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  <c r="BK105" s="166"/>
      <c r="BL105" s="166"/>
      <c r="BM105" s="166"/>
      <c r="BN105" s="166"/>
      <c r="BO105" s="166"/>
      <c r="BP105" s="166"/>
      <c r="BQ105" s="166"/>
      <c r="BR105" s="166"/>
      <c r="BS105" s="166"/>
      <c r="BT105" s="166"/>
      <c r="BU105" s="166"/>
      <c r="BV105" s="166"/>
      <c r="BW105" s="166"/>
      <c r="BX105" s="166"/>
      <c r="BY105" s="166"/>
      <c r="BZ105" s="166"/>
      <c r="CA105" s="166"/>
      <c r="CB105" s="166"/>
      <c r="CC105" s="166"/>
      <c r="CD105" s="166"/>
      <c r="CE105" s="166"/>
      <c r="CF105" s="166"/>
      <c r="CG105" s="166"/>
      <c r="CH105" s="166"/>
      <c r="CI105" s="166"/>
      <c r="CJ105" s="166"/>
      <c r="CK105" s="166"/>
      <c r="CL105" s="166"/>
      <c r="CM105" s="166"/>
      <c r="CN105" s="166"/>
      <c r="CO105" s="166"/>
      <c r="CP105" s="166"/>
      <c r="CQ105" s="166"/>
      <c r="CR105" s="166"/>
      <c r="CS105" s="166"/>
      <c r="CT105" s="166"/>
      <c r="CU105" s="166"/>
      <c r="CV105" s="166"/>
      <c r="CW105" s="166"/>
      <c r="CX105" s="166"/>
      <c r="CY105" s="166"/>
      <c r="CZ105" s="166"/>
      <c r="DA105" s="166"/>
      <c r="DB105" s="166"/>
      <c r="DC105" s="166"/>
      <c r="DD105" s="166"/>
      <c r="DE105" s="166"/>
      <c r="DF105" s="166"/>
      <c r="DG105" s="166"/>
      <c r="DH105" s="166"/>
      <c r="DI105" s="166"/>
      <c r="DJ105" s="166"/>
      <c r="DK105" s="166"/>
      <c r="DL105" s="166"/>
      <c r="DM105" s="166"/>
      <c r="DN105" s="166"/>
      <c r="DO105" s="166"/>
      <c r="DP105" s="166"/>
      <c r="DQ105" s="166"/>
      <c r="DR105" s="166"/>
      <c r="DS105" s="166"/>
      <c r="DT105" s="166"/>
      <c r="DU105" s="166"/>
      <c r="DV105" s="166"/>
      <c r="DW105" s="166"/>
      <c r="DX105" s="166"/>
      <c r="DY105" s="166"/>
      <c r="DZ105" s="166"/>
      <c r="EA105" s="166"/>
      <c r="EB105" s="166"/>
      <c r="EC105" s="166"/>
      <c r="ED105" s="166"/>
      <c r="EE105" s="166"/>
      <c r="EF105" s="166"/>
      <c r="EG105" s="166"/>
      <c r="EH105" s="166"/>
      <c r="EI105" s="166"/>
      <c r="EJ105" s="166"/>
      <c r="EK105" s="166"/>
      <c r="EL105" s="166"/>
      <c r="EM105" s="166"/>
      <c r="EN105" s="166"/>
      <c r="EO105" s="166"/>
      <c r="EP105" s="166"/>
      <c r="EQ105" s="166"/>
      <c r="ER105" s="166"/>
      <c r="ES105" s="166"/>
      <c r="ET105" s="166"/>
      <c r="EU105" s="166"/>
      <c r="EV105" s="166"/>
      <c r="EW105" s="166"/>
      <c r="EX105" s="166"/>
      <c r="EY105" s="166"/>
      <c r="EZ105" s="166"/>
      <c r="FA105" s="166"/>
      <c r="FB105" s="166"/>
      <c r="FC105" s="166"/>
      <c r="FD105" s="166"/>
      <c r="FE105" s="166"/>
      <c r="FF105" s="166"/>
      <c r="FG105" s="166"/>
      <c r="FH105" s="166"/>
      <c r="FI105" s="166"/>
      <c r="FJ105" s="166"/>
      <c r="FK105" s="166"/>
      <c r="FL105" s="166"/>
      <c r="FM105" s="166"/>
      <c r="FN105" s="166"/>
      <c r="FO105" s="166"/>
      <c r="FP105" s="166"/>
      <c r="FQ105" s="166"/>
      <c r="FR105" s="166"/>
      <c r="FS105" s="166"/>
      <c r="FT105" s="166"/>
      <c r="FU105" s="166"/>
      <c r="FV105" s="166"/>
      <c r="FW105" s="166"/>
      <c r="FX105" s="166"/>
      <c r="FY105" s="166"/>
      <c r="FZ105" s="166"/>
      <c r="GA105" s="166"/>
      <c r="GB105" s="166"/>
      <c r="GC105" s="166"/>
      <c r="GD105" s="166"/>
      <c r="GE105" s="166"/>
      <c r="GF105" s="166"/>
      <c r="GG105" s="166"/>
      <c r="GH105" s="166"/>
      <c r="GI105" s="166"/>
      <c r="GJ105" s="166"/>
      <c r="GK105" s="166"/>
      <c r="GL105" s="166"/>
      <c r="GM105" s="166"/>
      <c r="GN105" s="166"/>
      <c r="GO105" s="166"/>
      <c r="GP105" s="166"/>
      <c r="GQ105" s="166"/>
      <c r="GR105" s="166"/>
      <c r="GS105" s="166"/>
      <c r="GT105" s="166"/>
      <c r="GU105" s="166"/>
      <c r="GV105" s="166"/>
      <c r="GW105" s="166"/>
      <c r="GX105" s="166"/>
      <c r="GY105" s="166"/>
      <c r="GZ105" s="166"/>
      <c r="HA105" s="166"/>
      <c r="HB105" s="166"/>
      <c r="HC105" s="166"/>
      <c r="HD105" s="166"/>
      <c r="HE105" s="166"/>
      <c r="HF105" s="166"/>
      <c r="HG105" s="166"/>
      <c r="HH105" s="166"/>
      <c r="HI105" s="166"/>
      <c r="HJ105" s="166"/>
      <c r="HK105" s="166"/>
      <c r="HL105" s="166"/>
      <c r="HM105" s="166"/>
      <c r="HN105" s="166"/>
      <c r="HO105" s="166"/>
      <c r="HP105" s="166"/>
      <c r="HQ105" s="166"/>
      <c r="HR105" s="166"/>
      <c r="HS105" s="166"/>
      <c r="HT105" s="166"/>
      <c r="HU105" s="166"/>
      <c r="HV105" s="166"/>
      <c r="HW105" s="166"/>
      <c r="HX105" s="166"/>
      <c r="HY105" s="166"/>
      <c r="HZ105" s="166"/>
      <c r="IA105" s="166"/>
      <c r="IB105" s="166"/>
      <c r="IC105" s="166"/>
      <c r="ID105" s="166"/>
      <c r="IE105" s="166"/>
      <c r="IF105" s="166"/>
      <c r="IG105" s="166"/>
      <c r="IH105" s="166"/>
      <c r="II105" s="166"/>
      <c r="IJ105" s="166"/>
      <c r="IK105" s="166"/>
      <c r="IL105" s="166"/>
      <c r="IM105" s="166"/>
      <c r="IN105" s="166"/>
      <c r="IO105" s="166"/>
      <c r="IP105" s="166"/>
      <c r="IQ105" s="166"/>
      <c r="IR105" s="166"/>
      <c r="IS105" s="166"/>
      <c r="IT105" s="166"/>
      <c r="IU105" s="166"/>
      <c r="IV105" s="166"/>
    </row>
    <row r="106" spans="1:256" x14ac:dyDescent="0.25">
      <c r="A106" s="325">
        <f>IF(Info!$J$3&gt;0,Info!$J$3+B106, )</f>
        <v>0</v>
      </c>
      <c r="B106" s="215">
        <v>92</v>
      </c>
      <c r="C106" s="299"/>
      <c r="D106" s="211"/>
      <c r="E106" s="294"/>
      <c r="F106" s="294"/>
      <c r="G106" s="211"/>
      <c r="H106" s="211"/>
      <c r="I106" s="211"/>
      <c r="J106" s="204"/>
      <c r="K106" s="38"/>
      <c r="L106" s="166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  <c r="BK106" s="166"/>
      <c r="BL106" s="166"/>
      <c r="BM106" s="166"/>
      <c r="BN106" s="166"/>
      <c r="BO106" s="166"/>
      <c r="BP106" s="166"/>
      <c r="BQ106" s="166"/>
      <c r="BR106" s="166"/>
      <c r="BS106" s="166"/>
      <c r="BT106" s="166"/>
      <c r="BU106" s="166"/>
      <c r="BV106" s="166"/>
      <c r="BW106" s="166"/>
      <c r="BX106" s="166"/>
      <c r="BY106" s="166"/>
      <c r="BZ106" s="166"/>
      <c r="CA106" s="166"/>
      <c r="CB106" s="166"/>
      <c r="CC106" s="166"/>
      <c r="CD106" s="166"/>
      <c r="CE106" s="166"/>
      <c r="CF106" s="166"/>
      <c r="CG106" s="166"/>
      <c r="CH106" s="166"/>
      <c r="CI106" s="166"/>
      <c r="CJ106" s="166"/>
      <c r="CK106" s="166"/>
      <c r="CL106" s="166"/>
      <c r="CM106" s="166"/>
      <c r="CN106" s="166"/>
      <c r="CO106" s="166"/>
      <c r="CP106" s="166"/>
      <c r="CQ106" s="166"/>
      <c r="CR106" s="166"/>
      <c r="CS106" s="166"/>
      <c r="CT106" s="166"/>
      <c r="CU106" s="166"/>
      <c r="CV106" s="166"/>
      <c r="CW106" s="166"/>
      <c r="CX106" s="166"/>
      <c r="CY106" s="166"/>
      <c r="CZ106" s="166"/>
      <c r="DA106" s="166"/>
      <c r="DB106" s="166"/>
      <c r="DC106" s="166"/>
      <c r="DD106" s="166"/>
      <c r="DE106" s="166"/>
      <c r="DF106" s="166"/>
      <c r="DG106" s="166"/>
      <c r="DH106" s="166"/>
      <c r="DI106" s="166"/>
      <c r="DJ106" s="166"/>
      <c r="DK106" s="166"/>
      <c r="DL106" s="166"/>
      <c r="DM106" s="166"/>
      <c r="DN106" s="166"/>
      <c r="DO106" s="166"/>
      <c r="DP106" s="166"/>
      <c r="DQ106" s="166"/>
      <c r="DR106" s="166"/>
      <c r="DS106" s="166"/>
      <c r="DT106" s="166"/>
      <c r="DU106" s="166"/>
      <c r="DV106" s="166"/>
      <c r="DW106" s="166"/>
      <c r="DX106" s="166"/>
      <c r="DY106" s="166"/>
      <c r="DZ106" s="166"/>
      <c r="EA106" s="166"/>
      <c r="EB106" s="166"/>
      <c r="EC106" s="166"/>
      <c r="ED106" s="166"/>
      <c r="EE106" s="166"/>
      <c r="EF106" s="166"/>
      <c r="EG106" s="166"/>
      <c r="EH106" s="166"/>
      <c r="EI106" s="166"/>
      <c r="EJ106" s="166"/>
      <c r="EK106" s="166"/>
      <c r="EL106" s="166"/>
      <c r="EM106" s="166"/>
      <c r="EN106" s="166"/>
      <c r="EO106" s="166"/>
      <c r="EP106" s="166"/>
      <c r="EQ106" s="166"/>
      <c r="ER106" s="166"/>
      <c r="ES106" s="166"/>
      <c r="ET106" s="166"/>
      <c r="EU106" s="166"/>
      <c r="EV106" s="166"/>
      <c r="EW106" s="166"/>
      <c r="EX106" s="166"/>
      <c r="EY106" s="166"/>
      <c r="EZ106" s="166"/>
      <c r="FA106" s="166"/>
      <c r="FB106" s="166"/>
      <c r="FC106" s="166"/>
      <c r="FD106" s="166"/>
      <c r="FE106" s="166"/>
      <c r="FF106" s="166"/>
      <c r="FG106" s="166"/>
      <c r="FH106" s="166"/>
      <c r="FI106" s="166"/>
      <c r="FJ106" s="166"/>
      <c r="FK106" s="166"/>
      <c r="FL106" s="166"/>
      <c r="FM106" s="166"/>
      <c r="FN106" s="166"/>
      <c r="FO106" s="166"/>
      <c r="FP106" s="166"/>
      <c r="FQ106" s="166"/>
      <c r="FR106" s="166"/>
      <c r="FS106" s="166"/>
      <c r="FT106" s="166"/>
      <c r="FU106" s="166"/>
      <c r="FV106" s="166"/>
      <c r="FW106" s="166"/>
      <c r="FX106" s="166"/>
      <c r="FY106" s="166"/>
      <c r="FZ106" s="166"/>
      <c r="GA106" s="166"/>
      <c r="GB106" s="166"/>
      <c r="GC106" s="166"/>
      <c r="GD106" s="166"/>
      <c r="GE106" s="166"/>
      <c r="GF106" s="166"/>
      <c r="GG106" s="166"/>
      <c r="GH106" s="166"/>
      <c r="GI106" s="166"/>
      <c r="GJ106" s="166"/>
      <c r="GK106" s="166"/>
      <c r="GL106" s="166"/>
      <c r="GM106" s="166"/>
      <c r="GN106" s="166"/>
      <c r="GO106" s="166"/>
      <c r="GP106" s="166"/>
      <c r="GQ106" s="166"/>
      <c r="GR106" s="166"/>
      <c r="GS106" s="166"/>
      <c r="GT106" s="166"/>
      <c r="GU106" s="166"/>
      <c r="GV106" s="166"/>
      <c r="GW106" s="166"/>
      <c r="GX106" s="166"/>
      <c r="GY106" s="166"/>
      <c r="GZ106" s="166"/>
      <c r="HA106" s="166"/>
      <c r="HB106" s="166"/>
      <c r="HC106" s="166"/>
      <c r="HD106" s="166"/>
      <c r="HE106" s="166"/>
      <c r="HF106" s="166"/>
      <c r="HG106" s="166"/>
      <c r="HH106" s="166"/>
      <c r="HI106" s="166"/>
      <c r="HJ106" s="166"/>
      <c r="HK106" s="166"/>
      <c r="HL106" s="166"/>
      <c r="HM106" s="166"/>
      <c r="HN106" s="166"/>
      <c r="HO106" s="166"/>
      <c r="HP106" s="166"/>
      <c r="HQ106" s="166"/>
      <c r="HR106" s="166"/>
      <c r="HS106" s="166"/>
      <c r="HT106" s="166"/>
      <c r="HU106" s="166"/>
      <c r="HV106" s="166"/>
      <c r="HW106" s="166"/>
      <c r="HX106" s="166"/>
      <c r="HY106" s="166"/>
      <c r="HZ106" s="166"/>
      <c r="IA106" s="166"/>
      <c r="IB106" s="166"/>
      <c r="IC106" s="166"/>
      <c r="ID106" s="166"/>
      <c r="IE106" s="166"/>
      <c r="IF106" s="166"/>
      <c r="IG106" s="166"/>
      <c r="IH106" s="166"/>
      <c r="II106" s="166"/>
      <c r="IJ106" s="166"/>
      <c r="IK106" s="166"/>
      <c r="IL106" s="166"/>
      <c r="IM106" s="166"/>
      <c r="IN106" s="166"/>
      <c r="IO106" s="166"/>
      <c r="IP106" s="166"/>
      <c r="IQ106" s="166"/>
      <c r="IR106" s="166"/>
      <c r="IS106" s="166"/>
      <c r="IT106" s="166"/>
      <c r="IU106" s="166"/>
      <c r="IV106" s="166"/>
    </row>
    <row r="107" spans="1:256" x14ac:dyDescent="0.25">
      <c r="A107" s="325">
        <f>IF(Info!$J$3&gt;0,Info!$J$3+B107, )</f>
        <v>0</v>
      </c>
      <c r="B107" s="215">
        <v>93</v>
      </c>
      <c r="C107" s="300"/>
      <c r="D107" s="211"/>
      <c r="E107" s="294"/>
      <c r="F107" s="294"/>
      <c r="G107" s="211"/>
      <c r="H107" s="211"/>
      <c r="I107" s="211"/>
      <c r="J107" s="205"/>
      <c r="K107" s="38"/>
      <c r="L107" s="166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  <c r="BK107" s="166"/>
      <c r="BL107" s="166"/>
      <c r="BM107" s="166"/>
      <c r="BN107" s="166"/>
      <c r="BO107" s="166"/>
      <c r="BP107" s="166"/>
      <c r="BQ107" s="166"/>
      <c r="BR107" s="166"/>
      <c r="BS107" s="166"/>
      <c r="BT107" s="166"/>
      <c r="BU107" s="166"/>
      <c r="BV107" s="166"/>
      <c r="BW107" s="166"/>
      <c r="BX107" s="166"/>
      <c r="BY107" s="166"/>
      <c r="BZ107" s="166"/>
      <c r="CA107" s="166"/>
      <c r="CB107" s="166"/>
      <c r="CC107" s="166"/>
      <c r="CD107" s="166"/>
      <c r="CE107" s="166"/>
      <c r="CF107" s="166"/>
      <c r="CG107" s="166"/>
      <c r="CH107" s="166"/>
      <c r="CI107" s="166"/>
      <c r="CJ107" s="166"/>
      <c r="CK107" s="166"/>
      <c r="CL107" s="166"/>
      <c r="CM107" s="166"/>
      <c r="CN107" s="166"/>
      <c r="CO107" s="166"/>
      <c r="CP107" s="166"/>
      <c r="CQ107" s="166"/>
      <c r="CR107" s="166"/>
      <c r="CS107" s="166"/>
      <c r="CT107" s="166"/>
      <c r="CU107" s="166"/>
      <c r="CV107" s="166"/>
      <c r="CW107" s="166"/>
      <c r="CX107" s="166"/>
      <c r="CY107" s="166"/>
      <c r="CZ107" s="166"/>
      <c r="DA107" s="166"/>
      <c r="DB107" s="166"/>
      <c r="DC107" s="166"/>
      <c r="DD107" s="166"/>
      <c r="DE107" s="166"/>
      <c r="DF107" s="166"/>
      <c r="DG107" s="166"/>
      <c r="DH107" s="166"/>
      <c r="DI107" s="166"/>
      <c r="DJ107" s="166"/>
      <c r="DK107" s="166"/>
      <c r="DL107" s="166"/>
      <c r="DM107" s="166"/>
      <c r="DN107" s="166"/>
      <c r="DO107" s="166"/>
      <c r="DP107" s="166"/>
      <c r="DQ107" s="166"/>
      <c r="DR107" s="166"/>
      <c r="DS107" s="166"/>
      <c r="DT107" s="166"/>
      <c r="DU107" s="166"/>
      <c r="DV107" s="166"/>
      <c r="DW107" s="166"/>
      <c r="DX107" s="166"/>
      <c r="DY107" s="166"/>
      <c r="DZ107" s="166"/>
      <c r="EA107" s="166"/>
      <c r="EB107" s="166"/>
      <c r="EC107" s="166"/>
      <c r="ED107" s="166"/>
      <c r="EE107" s="166"/>
      <c r="EF107" s="166"/>
      <c r="EG107" s="166"/>
      <c r="EH107" s="166"/>
      <c r="EI107" s="166"/>
      <c r="EJ107" s="166"/>
      <c r="EK107" s="166"/>
      <c r="EL107" s="166"/>
      <c r="EM107" s="166"/>
      <c r="EN107" s="166"/>
      <c r="EO107" s="166"/>
      <c r="EP107" s="166"/>
      <c r="EQ107" s="166"/>
      <c r="ER107" s="166"/>
      <c r="ES107" s="166"/>
      <c r="ET107" s="166"/>
      <c r="EU107" s="166"/>
      <c r="EV107" s="166"/>
      <c r="EW107" s="166"/>
      <c r="EX107" s="166"/>
      <c r="EY107" s="166"/>
      <c r="EZ107" s="166"/>
      <c r="FA107" s="166"/>
      <c r="FB107" s="166"/>
      <c r="FC107" s="166"/>
      <c r="FD107" s="166"/>
      <c r="FE107" s="166"/>
      <c r="FF107" s="166"/>
      <c r="FG107" s="166"/>
      <c r="FH107" s="166"/>
      <c r="FI107" s="166"/>
      <c r="FJ107" s="166"/>
      <c r="FK107" s="166"/>
      <c r="FL107" s="166"/>
      <c r="FM107" s="166"/>
      <c r="FN107" s="166"/>
      <c r="FO107" s="166"/>
      <c r="FP107" s="166"/>
      <c r="FQ107" s="166"/>
      <c r="FR107" s="166"/>
      <c r="FS107" s="166"/>
      <c r="FT107" s="166"/>
      <c r="FU107" s="166"/>
      <c r="FV107" s="166"/>
      <c r="FW107" s="166"/>
      <c r="FX107" s="166"/>
      <c r="FY107" s="166"/>
      <c r="FZ107" s="166"/>
      <c r="GA107" s="166"/>
      <c r="GB107" s="166"/>
      <c r="GC107" s="166"/>
      <c r="GD107" s="166"/>
      <c r="GE107" s="166"/>
      <c r="GF107" s="166"/>
      <c r="GG107" s="166"/>
      <c r="GH107" s="166"/>
      <c r="GI107" s="166"/>
      <c r="GJ107" s="166"/>
      <c r="GK107" s="166"/>
      <c r="GL107" s="166"/>
      <c r="GM107" s="166"/>
      <c r="GN107" s="166"/>
      <c r="GO107" s="166"/>
      <c r="GP107" s="166"/>
      <c r="GQ107" s="166"/>
      <c r="GR107" s="166"/>
      <c r="GS107" s="166"/>
      <c r="GT107" s="166"/>
      <c r="GU107" s="166"/>
      <c r="GV107" s="166"/>
      <c r="GW107" s="166"/>
      <c r="GX107" s="166"/>
      <c r="GY107" s="166"/>
      <c r="GZ107" s="166"/>
      <c r="HA107" s="166"/>
      <c r="HB107" s="166"/>
      <c r="HC107" s="166"/>
      <c r="HD107" s="166"/>
      <c r="HE107" s="166"/>
      <c r="HF107" s="166"/>
      <c r="HG107" s="166"/>
      <c r="HH107" s="166"/>
      <c r="HI107" s="166"/>
      <c r="HJ107" s="166"/>
      <c r="HK107" s="166"/>
      <c r="HL107" s="166"/>
      <c r="HM107" s="166"/>
      <c r="HN107" s="166"/>
      <c r="HO107" s="166"/>
      <c r="HP107" s="166"/>
      <c r="HQ107" s="166"/>
      <c r="HR107" s="166"/>
      <c r="HS107" s="166"/>
      <c r="HT107" s="166"/>
      <c r="HU107" s="166"/>
      <c r="HV107" s="166"/>
      <c r="HW107" s="166"/>
      <c r="HX107" s="166"/>
      <c r="HY107" s="166"/>
      <c r="HZ107" s="166"/>
      <c r="IA107" s="166"/>
      <c r="IB107" s="166"/>
      <c r="IC107" s="166"/>
      <c r="ID107" s="166"/>
      <c r="IE107" s="166"/>
      <c r="IF107" s="166"/>
      <c r="IG107" s="166"/>
      <c r="IH107" s="166"/>
      <c r="II107" s="166"/>
      <c r="IJ107" s="166"/>
      <c r="IK107" s="166"/>
      <c r="IL107" s="166"/>
      <c r="IM107" s="166"/>
      <c r="IN107" s="166"/>
      <c r="IO107" s="166"/>
      <c r="IP107" s="166"/>
      <c r="IQ107" s="166"/>
      <c r="IR107" s="166"/>
      <c r="IS107" s="166"/>
      <c r="IT107" s="166"/>
      <c r="IU107" s="166"/>
      <c r="IV107" s="166"/>
    </row>
    <row r="108" spans="1:256" x14ac:dyDescent="0.25">
      <c r="A108" s="325">
        <f>IF(Info!$J$3&gt;0,Info!$J$3+B108, )</f>
        <v>0</v>
      </c>
      <c r="B108" s="215">
        <v>94</v>
      </c>
      <c r="C108" s="299"/>
      <c r="D108" s="211"/>
      <c r="E108" s="294"/>
      <c r="F108" s="294"/>
      <c r="G108" s="211"/>
      <c r="H108" s="211"/>
      <c r="I108" s="211"/>
      <c r="J108" s="205"/>
      <c r="K108" s="38"/>
      <c r="L108" s="166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  <c r="BK108" s="166"/>
      <c r="BL108" s="166"/>
      <c r="BM108" s="166"/>
      <c r="BN108" s="166"/>
      <c r="BO108" s="166"/>
      <c r="BP108" s="166"/>
      <c r="BQ108" s="166"/>
      <c r="BR108" s="166"/>
      <c r="BS108" s="166"/>
      <c r="BT108" s="166"/>
      <c r="BU108" s="166"/>
      <c r="BV108" s="166"/>
      <c r="BW108" s="166"/>
      <c r="BX108" s="166"/>
      <c r="BY108" s="166"/>
      <c r="BZ108" s="166"/>
      <c r="CA108" s="166"/>
      <c r="CB108" s="166"/>
      <c r="CC108" s="166"/>
      <c r="CD108" s="166"/>
      <c r="CE108" s="166"/>
      <c r="CF108" s="166"/>
      <c r="CG108" s="166"/>
      <c r="CH108" s="166"/>
      <c r="CI108" s="166"/>
      <c r="CJ108" s="166"/>
      <c r="CK108" s="166"/>
      <c r="CL108" s="166"/>
      <c r="CM108" s="166"/>
      <c r="CN108" s="166"/>
      <c r="CO108" s="166"/>
      <c r="CP108" s="166"/>
      <c r="CQ108" s="166"/>
      <c r="CR108" s="166"/>
      <c r="CS108" s="166"/>
      <c r="CT108" s="166"/>
      <c r="CU108" s="166"/>
      <c r="CV108" s="166"/>
      <c r="CW108" s="166"/>
      <c r="CX108" s="166"/>
      <c r="CY108" s="166"/>
      <c r="CZ108" s="166"/>
      <c r="DA108" s="166"/>
      <c r="DB108" s="166"/>
      <c r="DC108" s="166"/>
      <c r="DD108" s="166"/>
      <c r="DE108" s="166"/>
      <c r="DF108" s="166"/>
      <c r="DG108" s="166"/>
      <c r="DH108" s="166"/>
      <c r="DI108" s="166"/>
      <c r="DJ108" s="166"/>
      <c r="DK108" s="166"/>
      <c r="DL108" s="166"/>
      <c r="DM108" s="166"/>
      <c r="DN108" s="166"/>
      <c r="DO108" s="166"/>
      <c r="DP108" s="166"/>
      <c r="DQ108" s="166"/>
      <c r="DR108" s="166"/>
      <c r="DS108" s="166"/>
      <c r="DT108" s="166"/>
      <c r="DU108" s="166"/>
      <c r="DV108" s="166"/>
      <c r="DW108" s="166"/>
      <c r="DX108" s="166"/>
      <c r="DY108" s="166"/>
      <c r="DZ108" s="166"/>
      <c r="EA108" s="166"/>
      <c r="EB108" s="166"/>
      <c r="EC108" s="166"/>
      <c r="ED108" s="166"/>
      <c r="EE108" s="166"/>
      <c r="EF108" s="166"/>
      <c r="EG108" s="166"/>
      <c r="EH108" s="166"/>
      <c r="EI108" s="166"/>
      <c r="EJ108" s="166"/>
      <c r="EK108" s="166"/>
      <c r="EL108" s="166"/>
      <c r="EM108" s="166"/>
      <c r="EN108" s="166"/>
      <c r="EO108" s="166"/>
      <c r="EP108" s="166"/>
      <c r="EQ108" s="166"/>
      <c r="ER108" s="166"/>
      <c r="ES108" s="166"/>
      <c r="ET108" s="166"/>
      <c r="EU108" s="166"/>
      <c r="EV108" s="166"/>
      <c r="EW108" s="166"/>
      <c r="EX108" s="166"/>
      <c r="EY108" s="166"/>
      <c r="EZ108" s="166"/>
      <c r="FA108" s="166"/>
      <c r="FB108" s="166"/>
      <c r="FC108" s="166"/>
      <c r="FD108" s="166"/>
      <c r="FE108" s="166"/>
      <c r="FF108" s="166"/>
      <c r="FG108" s="166"/>
      <c r="FH108" s="166"/>
      <c r="FI108" s="166"/>
      <c r="FJ108" s="166"/>
      <c r="FK108" s="166"/>
      <c r="FL108" s="166"/>
      <c r="FM108" s="166"/>
      <c r="FN108" s="166"/>
      <c r="FO108" s="166"/>
      <c r="FP108" s="166"/>
      <c r="FQ108" s="166"/>
      <c r="FR108" s="166"/>
      <c r="FS108" s="166"/>
      <c r="FT108" s="166"/>
      <c r="FU108" s="166"/>
      <c r="FV108" s="166"/>
      <c r="FW108" s="166"/>
      <c r="FX108" s="166"/>
      <c r="FY108" s="166"/>
      <c r="FZ108" s="166"/>
      <c r="GA108" s="166"/>
      <c r="GB108" s="166"/>
      <c r="GC108" s="166"/>
      <c r="GD108" s="166"/>
      <c r="GE108" s="166"/>
      <c r="GF108" s="166"/>
      <c r="GG108" s="166"/>
      <c r="GH108" s="166"/>
      <c r="GI108" s="166"/>
      <c r="GJ108" s="166"/>
      <c r="GK108" s="166"/>
      <c r="GL108" s="166"/>
      <c r="GM108" s="166"/>
      <c r="GN108" s="166"/>
      <c r="GO108" s="166"/>
      <c r="GP108" s="166"/>
      <c r="GQ108" s="166"/>
      <c r="GR108" s="166"/>
      <c r="GS108" s="166"/>
      <c r="GT108" s="166"/>
      <c r="GU108" s="166"/>
      <c r="GV108" s="166"/>
      <c r="GW108" s="166"/>
      <c r="GX108" s="166"/>
      <c r="GY108" s="166"/>
      <c r="GZ108" s="166"/>
      <c r="HA108" s="166"/>
      <c r="HB108" s="166"/>
      <c r="HC108" s="166"/>
      <c r="HD108" s="166"/>
      <c r="HE108" s="166"/>
      <c r="HF108" s="166"/>
      <c r="HG108" s="166"/>
      <c r="HH108" s="166"/>
      <c r="HI108" s="166"/>
      <c r="HJ108" s="166"/>
      <c r="HK108" s="166"/>
      <c r="HL108" s="166"/>
      <c r="HM108" s="166"/>
      <c r="HN108" s="166"/>
      <c r="HO108" s="166"/>
      <c r="HP108" s="166"/>
      <c r="HQ108" s="166"/>
      <c r="HR108" s="166"/>
      <c r="HS108" s="166"/>
      <c r="HT108" s="166"/>
      <c r="HU108" s="166"/>
      <c r="HV108" s="166"/>
      <c r="HW108" s="166"/>
      <c r="HX108" s="166"/>
      <c r="HY108" s="166"/>
      <c r="HZ108" s="166"/>
      <c r="IA108" s="166"/>
      <c r="IB108" s="166"/>
      <c r="IC108" s="166"/>
      <c r="ID108" s="166"/>
      <c r="IE108" s="166"/>
      <c r="IF108" s="166"/>
      <c r="IG108" s="166"/>
      <c r="IH108" s="166"/>
      <c r="II108" s="166"/>
      <c r="IJ108" s="166"/>
      <c r="IK108" s="166"/>
      <c r="IL108" s="166"/>
      <c r="IM108" s="166"/>
      <c r="IN108" s="166"/>
      <c r="IO108" s="166"/>
      <c r="IP108" s="166"/>
      <c r="IQ108" s="166"/>
      <c r="IR108" s="166"/>
      <c r="IS108" s="166"/>
      <c r="IT108" s="166"/>
      <c r="IU108" s="166"/>
      <c r="IV108" s="166"/>
    </row>
    <row r="109" spans="1:256" x14ac:dyDescent="0.25">
      <c r="A109" s="325">
        <f>IF(Info!$J$3&gt;0,Info!$J$3+B109, )</f>
        <v>0</v>
      </c>
      <c r="B109" s="215">
        <v>95</v>
      </c>
      <c r="C109" s="299"/>
      <c r="D109" s="211"/>
      <c r="E109" s="294"/>
      <c r="F109" s="294"/>
      <c r="G109" s="211"/>
      <c r="H109" s="211"/>
      <c r="I109" s="211"/>
      <c r="J109" s="205"/>
      <c r="K109" s="38"/>
      <c r="L109" s="166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  <c r="BK109" s="166"/>
      <c r="BL109" s="166"/>
      <c r="BM109" s="166"/>
      <c r="BN109" s="166"/>
      <c r="BO109" s="166"/>
      <c r="BP109" s="166"/>
      <c r="BQ109" s="166"/>
      <c r="BR109" s="166"/>
      <c r="BS109" s="166"/>
      <c r="BT109" s="166"/>
      <c r="BU109" s="166"/>
      <c r="BV109" s="166"/>
      <c r="BW109" s="166"/>
      <c r="BX109" s="166"/>
      <c r="BY109" s="166"/>
      <c r="BZ109" s="166"/>
      <c r="CA109" s="166"/>
      <c r="CB109" s="166"/>
      <c r="CC109" s="166"/>
      <c r="CD109" s="166"/>
      <c r="CE109" s="166"/>
      <c r="CF109" s="166"/>
      <c r="CG109" s="166"/>
      <c r="CH109" s="166"/>
      <c r="CI109" s="166"/>
      <c r="CJ109" s="166"/>
      <c r="CK109" s="166"/>
      <c r="CL109" s="166"/>
      <c r="CM109" s="166"/>
      <c r="CN109" s="166"/>
      <c r="CO109" s="166"/>
      <c r="CP109" s="166"/>
      <c r="CQ109" s="166"/>
      <c r="CR109" s="166"/>
      <c r="CS109" s="166"/>
      <c r="CT109" s="166"/>
      <c r="CU109" s="166"/>
      <c r="CV109" s="166"/>
      <c r="CW109" s="166"/>
      <c r="CX109" s="166"/>
      <c r="CY109" s="166"/>
      <c r="CZ109" s="166"/>
      <c r="DA109" s="166"/>
      <c r="DB109" s="166"/>
      <c r="DC109" s="166"/>
      <c r="DD109" s="166"/>
      <c r="DE109" s="166"/>
      <c r="DF109" s="166"/>
      <c r="DG109" s="166"/>
      <c r="DH109" s="166"/>
      <c r="DI109" s="166"/>
      <c r="DJ109" s="166"/>
      <c r="DK109" s="166"/>
      <c r="DL109" s="166"/>
      <c r="DM109" s="166"/>
      <c r="DN109" s="166"/>
      <c r="DO109" s="166"/>
      <c r="DP109" s="166"/>
      <c r="DQ109" s="166"/>
      <c r="DR109" s="166"/>
      <c r="DS109" s="166"/>
      <c r="DT109" s="166"/>
      <c r="DU109" s="166"/>
      <c r="DV109" s="166"/>
      <c r="DW109" s="166"/>
      <c r="DX109" s="166"/>
      <c r="DY109" s="166"/>
      <c r="DZ109" s="166"/>
      <c r="EA109" s="166"/>
      <c r="EB109" s="166"/>
      <c r="EC109" s="166"/>
      <c r="ED109" s="166"/>
      <c r="EE109" s="166"/>
      <c r="EF109" s="166"/>
      <c r="EG109" s="166"/>
      <c r="EH109" s="166"/>
      <c r="EI109" s="166"/>
      <c r="EJ109" s="166"/>
      <c r="EK109" s="166"/>
      <c r="EL109" s="166"/>
      <c r="EM109" s="166"/>
      <c r="EN109" s="166"/>
      <c r="EO109" s="166"/>
      <c r="EP109" s="166"/>
      <c r="EQ109" s="166"/>
      <c r="ER109" s="166"/>
      <c r="ES109" s="166"/>
      <c r="ET109" s="166"/>
      <c r="EU109" s="166"/>
      <c r="EV109" s="166"/>
      <c r="EW109" s="166"/>
      <c r="EX109" s="166"/>
      <c r="EY109" s="166"/>
      <c r="EZ109" s="166"/>
      <c r="FA109" s="166"/>
      <c r="FB109" s="166"/>
      <c r="FC109" s="166"/>
      <c r="FD109" s="166"/>
      <c r="FE109" s="166"/>
      <c r="FF109" s="166"/>
      <c r="FG109" s="166"/>
      <c r="FH109" s="166"/>
      <c r="FI109" s="166"/>
      <c r="FJ109" s="166"/>
      <c r="FK109" s="166"/>
      <c r="FL109" s="166"/>
      <c r="FM109" s="166"/>
      <c r="FN109" s="166"/>
      <c r="FO109" s="166"/>
      <c r="FP109" s="166"/>
      <c r="FQ109" s="166"/>
      <c r="FR109" s="166"/>
      <c r="FS109" s="166"/>
      <c r="FT109" s="166"/>
      <c r="FU109" s="166"/>
      <c r="FV109" s="166"/>
      <c r="FW109" s="166"/>
      <c r="FX109" s="166"/>
      <c r="FY109" s="166"/>
      <c r="FZ109" s="166"/>
      <c r="GA109" s="166"/>
      <c r="GB109" s="166"/>
      <c r="GC109" s="166"/>
      <c r="GD109" s="166"/>
      <c r="GE109" s="166"/>
      <c r="GF109" s="166"/>
      <c r="GG109" s="166"/>
      <c r="GH109" s="166"/>
      <c r="GI109" s="166"/>
      <c r="GJ109" s="166"/>
      <c r="GK109" s="166"/>
      <c r="GL109" s="166"/>
      <c r="GM109" s="166"/>
      <c r="GN109" s="166"/>
      <c r="GO109" s="166"/>
      <c r="GP109" s="166"/>
      <c r="GQ109" s="166"/>
      <c r="GR109" s="166"/>
      <c r="GS109" s="166"/>
      <c r="GT109" s="166"/>
      <c r="GU109" s="166"/>
      <c r="GV109" s="166"/>
      <c r="GW109" s="166"/>
      <c r="GX109" s="166"/>
      <c r="GY109" s="166"/>
      <c r="GZ109" s="166"/>
      <c r="HA109" s="166"/>
      <c r="HB109" s="166"/>
      <c r="HC109" s="166"/>
      <c r="HD109" s="166"/>
      <c r="HE109" s="166"/>
      <c r="HF109" s="166"/>
      <c r="HG109" s="166"/>
      <c r="HH109" s="166"/>
      <c r="HI109" s="166"/>
      <c r="HJ109" s="166"/>
      <c r="HK109" s="166"/>
      <c r="HL109" s="166"/>
      <c r="HM109" s="166"/>
      <c r="HN109" s="166"/>
      <c r="HO109" s="166"/>
      <c r="HP109" s="166"/>
      <c r="HQ109" s="166"/>
      <c r="HR109" s="166"/>
      <c r="HS109" s="166"/>
      <c r="HT109" s="166"/>
      <c r="HU109" s="166"/>
      <c r="HV109" s="166"/>
      <c r="HW109" s="166"/>
      <c r="HX109" s="166"/>
      <c r="HY109" s="166"/>
      <c r="HZ109" s="166"/>
      <c r="IA109" s="166"/>
      <c r="IB109" s="166"/>
      <c r="IC109" s="166"/>
      <c r="ID109" s="166"/>
      <c r="IE109" s="166"/>
      <c r="IF109" s="166"/>
      <c r="IG109" s="166"/>
      <c r="IH109" s="166"/>
      <c r="II109" s="166"/>
      <c r="IJ109" s="166"/>
      <c r="IK109" s="166"/>
      <c r="IL109" s="166"/>
      <c r="IM109" s="166"/>
      <c r="IN109" s="166"/>
      <c r="IO109" s="166"/>
      <c r="IP109" s="166"/>
      <c r="IQ109" s="166"/>
      <c r="IR109" s="166"/>
      <c r="IS109" s="166"/>
      <c r="IT109" s="166"/>
      <c r="IU109" s="166"/>
      <c r="IV109" s="166"/>
    </row>
    <row r="110" spans="1:256" x14ac:dyDescent="0.25">
      <c r="A110" s="325">
        <f>IF(Info!$J$3&gt;0,Info!$J$3+B110, )</f>
        <v>0</v>
      </c>
      <c r="B110" s="215">
        <v>96</v>
      </c>
      <c r="C110" s="300"/>
      <c r="D110" s="211"/>
      <c r="E110" s="294"/>
      <c r="F110" s="294"/>
      <c r="G110" s="211"/>
      <c r="H110" s="211"/>
      <c r="I110" s="211"/>
      <c r="J110" s="205"/>
      <c r="K110" s="38"/>
      <c r="L110" s="166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  <c r="BK110" s="166"/>
      <c r="BL110" s="166"/>
      <c r="BM110" s="166"/>
      <c r="BN110" s="166"/>
      <c r="BO110" s="166"/>
      <c r="BP110" s="166"/>
      <c r="BQ110" s="166"/>
      <c r="BR110" s="166"/>
      <c r="BS110" s="166"/>
      <c r="BT110" s="166"/>
      <c r="BU110" s="166"/>
      <c r="BV110" s="166"/>
      <c r="BW110" s="166"/>
      <c r="BX110" s="166"/>
      <c r="BY110" s="166"/>
      <c r="BZ110" s="166"/>
      <c r="CA110" s="166"/>
      <c r="CB110" s="166"/>
      <c r="CC110" s="166"/>
      <c r="CD110" s="166"/>
      <c r="CE110" s="166"/>
      <c r="CF110" s="166"/>
      <c r="CG110" s="166"/>
      <c r="CH110" s="166"/>
      <c r="CI110" s="166"/>
      <c r="CJ110" s="166"/>
      <c r="CK110" s="166"/>
      <c r="CL110" s="166"/>
      <c r="CM110" s="166"/>
      <c r="CN110" s="166"/>
      <c r="CO110" s="166"/>
      <c r="CP110" s="166"/>
      <c r="CQ110" s="166"/>
      <c r="CR110" s="166"/>
      <c r="CS110" s="166"/>
      <c r="CT110" s="166"/>
      <c r="CU110" s="166"/>
      <c r="CV110" s="166"/>
      <c r="CW110" s="166"/>
      <c r="CX110" s="166"/>
      <c r="CY110" s="166"/>
      <c r="CZ110" s="166"/>
      <c r="DA110" s="166"/>
      <c r="DB110" s="166"/>
      <c r="DC110" s="166"/>
      <c r="DD110" s="166"/>
      <c r="DE110" s="166"/>
      <c r="DF110" s="166"/>
      <c r="DG110" s="166"/>
      <c r="DH110" s="166"/>
      <c r="DI110" s="166"/>
      <c r="DJ110" s="166"/>
      <c r="DK110" s="166"/>
      <c r="DL110" s="166"/>
      <c r="DM110" s="166"/>
      <c r="DN110" s="166"/>
      <c r="DO110" s="166"/>
      <c r="DP110" s="166"/>
      <c r="DQ110" s="166"/>
      <c r="DR110" s="166"/>
      <c r="DS110" s="166"/>
      <c r="DT110" s="166"/>
      <c r="DU110" s="166"/>
      <c r="DV110" s="166"/>
      <c r="DW110" s="166"/>
      <c r="DX110" s="166"/>
      <c r="DY110" s="166"/>
      <c r="DZ110" s="166"/>
      <c r="EA110" s="166"/>
      <c r="EB110" s="166"/>
      <c r="EC110" s="166"/>
      <c r="ED110" s="166"/>
      <c r="EE110" s="166"/>
      <c r="EF110" s="166"/>
      <c r="EG110" s="166"/>
      <c r="EH110" s="166"/>
      <c r="EI110" s="166"/>
      <c r="EJ110" s="166"/>
      <c r="EK110" s="166"/>
      <c r="EL110" s="166"/>
      <c r="EM110" s="166"/>
      <c r="EN110" s="166"/>
      <c r="EO110" s="166"/>
      <c r="EP110" s="166"/>
      <c r="EQ110" s="166"/>
      <c r="ER110" s="166"/>
      <c r="ES110" s="166"/>
      <c r="ET110" s="166"/>
      <c r="EU110" s="166"/>
      <c r="EV110" s="166"/>
      <c r="EW110" s="166"/>
      <c r="EX110" s="166"/>
      <c r="EY110" s="166"/>
      <c r="EZ110" s="166"/>
      <c r="FA110" s="166"/>
      <c r="FB110" s="166"/>
      <c r="FC110" s="166"/>
      <c r="FD110" s="166"/>
      <c r="FE110" s="166"/>
      <c r="FF110" s="166"/>
      <c r="FG110" s="166"/>
      <c r="FH110" s="166"/>
      <c r="FI110" s="166"/>
      <c r="FJ110" s="166"/>
      <c r="FK110" s="166"/>
      <c r="FL110" s="166"/>
      <c r="FM110" s="166"/>
      <c r="FN110" s="166"/>
      <c r="FO110" s="166"/>
      <c r="FP110" s="166"/>
      <c r="FQ110" s="166"/>
      <c r="FR110" s="166"/>
      <c r="FS110" s="166"/>
      <c r="FT110" s="166"/>
      <c r="FU110" s="166"/>
      <c r="FV110" s="166"/>
      <c r="FW110" s="166"/>
      <c r="FX110" s="166"/>
      <c r="FY110" s="166"/>
      <c r="FZ110" s="166"/>
      <c r="GA110" s="166"/>
      <c r="GB110" s="166"/>
      <c r="GC110" s="166"/>
      <c r="GD110" s="166"/>
      <c r="GE110" s="166"/>
      <c r="GF110" s="166"/>
      <c r="GG110" s="166"/>
      <c r="GH110" s="166"/>
      <c r="GI110" s="166"/>
      <c r="GJ110" s="166"/>
      <c r="GK110" s="166"/>
      <c r="GL110" s="166"/>
      <c r="GM110" s="166"/>
      <c r="GN110" s="166"/>
      <c r="GO110" s="166"/>
      <c r="GP110" s="166"/>
      <c r="GQ110" s="166"/>
      <c r="GR110" s="166"/>
      <c r="GS110" s="166"/>
      <c r="GT110" s="166"/>
      <c r="GU110" s="166"/>
      <c r="GV110" s="166"/>
      <c r="GW110" s="166"/>
      <c r="GX110" s="166"/>
      <c r="GY110" s="166"/>
      <c r="GZ110" s="166"/>
      <c r="HA110" s="166"/>
      <c r="HB110" s="166"/>
      <c r="HC110" s="166"/>
      <c r="HD110" s="166"/>
      <c r="HE110" s="166"/>
      <c r="HF110" s="166"/>
      <c r="HG110" s="166"/>
      <c r="HH110" s="166"/>
      <c r="HI110" s="166"/>
      <c r="HJ110" s="166"/>
      <c r="HK110" s="166"/>
      <c r="HL110" s="166"/>
      <c r="HM110" s="166"/>
      <c r="HN110" s="166"/>
      <c r="HO110" s="166"/>
      <c r="HP110" s="166"/>
      <c r="HQ110" s="166"/>
      <c r="HR110" s="166"/>
      <c r="HS110" s="166"/>
      <c r="HT110" s="166"/>
      <c r="HU110" s="166"/>
      <c r="HV110" s="166"/>
      <c r="HW110" s="166"/>
      <c r="HX110" s="166"/>
      <c r="HY110" s="166"/>
      <c r="HZ110" s="166"/>
      <c r="IA110" s="166"/>
      <c r="IB110" s="166"/>
      <c r="IC110" s="166"/>
      <c r="ID110" s="166"/>
      <c r="IE110" s="166"/>
      <c r="IF110" s="166"/>
      <c r="IG110" s="166"/>
      <c r="IH110" s="166"/>
      <c r="II110" s="166"/>
      <c r="IJ110" s="166"/>
      <c r="IK110" s="166"/>
      <c r="IL110" s="166"/>
      <c r="IM110" s="166"/>
      <c r="IN110" s="166"/>
      <c r="IO110" s="166"/>
      <c r="IP110" s="166"/>
      <c r="IQ110" s="166"/>
      <c r="IR110" s="166"/>
      <c r="IS110" s="166"/>
      <c r="IT110" s="166"/>
      <c r="IU110" s="166"/>
      <c r="IV110" s="166"/>
    </row>
    <row r="111" spans="1:256" x14ac:dyDescent="0.25">
      <c r="A111" s="325">
        <f>IF(Info!$J$3&gt;0,Info!$J$3+B111, )</f>
        <v>0</v>
      </c>
      <c r="B111" s="215">
        <v>97</v>
      </c>
      <c r="C111" s="299"/>
      <c r="D111" s="211"/>
      <c r="E111" s="294"/>
      <c r="F111" s="294"/>
      <c r="G111" s="211"/>
      <c r="H111" s="211"/>
      <c r="I111" s="211"/>
      <c r="J111" s="205"/>
      <c r="K111" s="38"/>
      <c r="L111" s="166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  <c r="BK111" s="166"/>
      <c r="BL111" s="166"/>
      <c r="BM111" s="166"/>
      <c r="BN111" s="166"/>
      <c r="BO111" s="166"/>
      <c r="BP111" s="166"/>
      <c r="BQ111" s="166"/>
      <c r="BR111" s="166"/>
      <c r="BS111" s="166"/>
      <c r="BT111" s="166"/>
      <c r="BU111" s="166"/>
      <c r="BV111" s="166"/>
      <c r="BW111" s="166"/>
      <c r="BX111" s="166"/>
      <c r="BY111" s="166"/>
      <c r="BZ111" s="166"/>
      <c r="CA111" s="166"/>
      <c r="CB111" s="166"/>
      <c r="CC111" s="166"/>
      <c r="CD111" s="166"/>
      <c r="CE111" s="166"/>
      <c r="CF111" s="166"/>
      <c r="CG111" s="166"/>
      <c r="CH111" s="166"/>
      <c r="CI111" s="166"/>
      <c r="CJ111" s="166"/>
      <c r="CK111" s="166"/>
      <c r="CL111" s="166"/>
      <c r="CM111" s="166"/>
      <c r="CN111" s="166"/>
      <c r="CO111" s="166"/>
      <c r="CP111" s="166"/>
      <c r="CQ111" s="166"/>
      <c r="CR111" s="166"/>
      <c r="CS111" s="166"/>
      <c r="CT111" s="166"/>
      <c r="CU111" s="166"/>
      <c r="CV111" s="166"/>
      <c r="CW111" s="166"/>
      <c r="CX111" s="166"/>
      <c r="CY111" s="166"/>
      <c r="CZ111" s="166"/>
      <c r="DA111" s="166"/>
      <c r="DB111" s="166"/>
      <c r="DC111" s="166"/>
      <c r="DD111" s="166"/>
      <c r="DE111" s="166"/>
      <c r="DF111" s="166"/>
      <c r="DG111" s="166"/>
      <c r="DH111" s="166"/>
      <c r="DI111" s="166"/>
      <c r="DJ111" s="166"/>
      <c r="DK111" s="166"/>
      <c r="DL111" s="166"/>
      <c r="DM111" s="166"/>
      <c r="DN111" s="166"/>
      <c r="DO111" s="166"/>
      <c r="DP111" s="166"/>
      <c r="DQ111" s="166"/>
      <c r="DR111" s="166"/>
      <c r="DS111" s="166"/>
      <c r="DT111" s="166"/>
      <c r="DU111" s="166"/>
      <c r="DV111" s="166"/>
      <c r="DW111" s="166"/>
      <c r="DX111" s="166"/>
      <c r="DY111" s="166"/>
      <c r="DZ111" s="166"/>
      <c r="EA111" s="166"/>
      <c r="EB111" s="166"/>
      <c r="EC111" s="166"/>
      <c r="ED111" s="166"/>
      <c r="EE111" s="166"/>
      <c r="EF111" s="166"/>
      <c r="EG111" s="166"/>
      <c r="EH111" s="166"/>
      <c r="EI111" s="166"/>
      <c r="EJ111" s="166"/>
      <c r="EK111" s="166"/>
      <c r="EL111" s="166"/>
      <c r="EM111" s="166"/>
      <c r="EN111" s="166"/>
      <c r="EO111" s="166"/>
      <c r="EP111" s="166"/>
      <c r="EQ111" s="166"/>
      <c r="ER111" s="166"/>
      <c r="ES111" s="166"/>
      <c r="ET111" s="166"/>
      <c r="EU111" s="166"/>
      <c r="EV111" s="166"/>
      <c r="EW111" s="166"/>
      <c r="EX111" s="166"/>
      <c r="EY111" s="166"/>
      <c r="EZ111" s="166"/>
      <c r="FA111" s="166"/>
      <c r="FB111" s="166"/>
      <c r="FC111" s="166"/>
      <c r="FD111" s="166"/>
      <c r="FE111" s="166"/>
      <c r="FF111" s="166"/>
      <c r="FG111" s="166"/>
      <c r="FH111" s="166"/>
      <c r="FI111" s="166"/>
      <c r="FJ111" s="166"/>
      <c r="FK111" s="166"/>
      <c r="FL111" s="166"/>
      <c r="FM111" s="166"/>
      <c r="FN111" s="166"/>
      <c r="FO111" s="166"/>
      <c r="FP111" s="166"/>
      <c r="FQ111" s="166"/>
      <c r="FR111" s="166"/>
      <c r="FS111" s="166"/>
      <c r="FT111" s="166"/>
      <c r="FU111" s="166"/>
      <c r="FV111" s="166"/>
      <c r="FW111" s="166"/>
      <c r="FX111" s="166"/>
      <c r="FY111" s="166"/>
      <c r="FZ111" s="166"/>
      <c r="GA111" s="166"/>
      <c r="GB111" s="166"/>
      <c r="GC111" s="166"/>
      <c r="GD111" s="166"/>
      <c r="GE111" s="166"/>
      <c r="GF111" s="166"/>
      <c r="GG111" s="166"/>
      <c r="GH111" s="166"/>
      <c r="GI111" s="166"/>
      <c r="GJ111" s="166"/>
      <c r="GK111" s="166"/>
      <c r="GL111" s="166"/>
      <c r="GM111" s="166"/>
      <c r="GN111" s="166"/>
      <c r="GO111" s="166"/>
      <c r="GP111" s="166"/>
      <c r="GQ111" s="166"/>
      <c r="GR111" s="166"/>
      <c r="GS111" s="166"/>
      <c r="GT111" s="166"/>
      <c r="GU111" s="166"/>
      <c r="GV111" s="166"/>
      <c r="GW111" s="166"/>
      <c r="GX111" s="166"/>
      <c r="GY111" s="166"/>
      <c r="GZ111" s="166"/>
      <c r="HA111" s="166"/>
      <c r="HB111" s="166"/>
      <c r="HC111" s="166"/>
      <c r="HD111" s="166"/>
      <c r="HE111" s="166"/>
      <c r="HF111" s="166"/>
      <c r="HG111" s="166"/>
      <c r="HH111" s="166"/>
      <c r="HI111" s="166"/>
      <c r="HJ111" s="166"/>
      <c r="HK111" s="166"/>
      <c r="HL111" s="166"/>
      <c r="HM111" s="166"/>
      <c r="HN111" s="166"/>
      <c r="HO111" s="166"/>
      <c r="HP111" s="166"/>
      <c r="HQ111" s="166"/>
      <c r="HR111" s="166"/>
      <c r="HS111" s="166"/>
      <c r="HT111" s="166"/>
      <c r="HU111" s="166"/>
      <c r="HV111" s="166"/>
      <c r="HW111" s="166"/>
      <c r="HX111" s="166"/>
      <c r="HY111" s="166"/>
      <c r="HZ111" s="166"/>
      <c r="IA111" s="166"/>
      <c r="IB111" s="166"/>
      <c r="IC111" s="166"/>
      <c r="ID111" s="166"/>
      <c r="IE111" s="166"/>
      <c r="IF111" s="166"/>
      <c r="IG111" s="166"/>
      <c r="IH111" s="166"/>
      <c r="II111" s="166"/>
      <c r="IJ111" s="166"/>
      <c r="IK111" s="166"/>
      <c r="IL111" s="166"/>
      <c r="IM111" s="166"/>
      <c r="IN111" s="166"/>
      <c r="IO111" s="166"/>
      <c r="IP111" s="166"/>
      <c r="IQ111" s="166"/>
      <c r="IR111" s="166"/>
      <c r="IS111" s="166"/>
      <c r="IT111" s="166"/>
      <c r="IU111" s="166"/>
      <c r="IV111" s="166"/>
    </row>
    <row r="112" spans="1:256" x14ac:dyDescent="0.25">
      <c r="A112" s="325">
        <f>IF(Info!$J$3&gt;0,Info!$J$3+B112, )</f>
        <v>0</v>
      </c>
      <c r="B112" s="215">
        <v>98</v>
      </c>
      <c r="C112" s="299"/>
      <c r="D112" s="211"/>
      <c r="E112" s="294"/>
      <c r="F112" s="294"/>
      <c r="G112" s="211"/>
      <c r="H112" s="211"/>
      <c r="I112" s="211"/>
      <c r="J112" s="206"/>
      <c r="K112" s="38"/>
      <c r="L112" s="166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  <c r="BK112" s="166"/>
      <c r="BL112" s="166"/>
      <c r="BM112" s="166"/>
      <c r="BN112" s="166"/>
      <c r="BO112" s="166"/>
      <c r="BP112" s="166"/>
      <c r="BQ112" s="166"/>
      <c r="BR112" s="166"/>
      <c r="BS112" s="166"/>
      <c r="BT112" s="166"/>
      <c r="BU112" s="166"/>
      <c r="BV112" s="166"/>
      <c r="BW112" s="166"/>
      <c r="BX112" s="166"/>
      <c r="BY112" s="166"/>
      <c r="BZ112" s="166"/>
      <c r="CA112" s="166"/>
      <c r="CB112" s="166"/>
      <c r="CC112" s="166"/>
      <c r="CD112" s="166"/>
      <c r="CE112" s="166"/>
      <c r="CF112" s="166"/>
      <c r="CG112" s="166"/>
      <c r="CH112" s="166"/>
      <c r="CI112" s="166"/>
      <c r="CJ112" s="166"/>
      <c r="CK112" s="166"/>
      <c r="CL112" s="166"/>
      <c r="CM112" s="166"/>
      <c r="CN112" s="166"/>
      <c r="CO112" s="166"/>
      <c r="CP112" s="166"/>
      <c r="CQ112" s="166"/>
      <c r="CR112" s="166"/>
      <c r="CS112" s="166"/>
      <c r="CT112" s="166"/>
      <c r="CU112" s="166"/>
      <c r="CV112" s="166"/>
      <c r="CW112" s="166"/>
      <c r="CX112" s="166"/>
      <c r="CY112" s="166"/>
      <c r="CZ112" s="166"/>
      <c r="DA112" s="166"/>
      <c r="DB112" s="166"/>
      <c r="DC112" s="166"/>
      <c r="DD112" s="166"/>
      <c r="DE112" s="166"/>
      <c r="DF112" s="166"/>
      <c r="DG112" s="166"/>
      <c r="DH112" s="166"/>
      <c r="DI112" s="166"/>
      <c r="DJ112" s="166"/>
      <c r="DK112" s="166"/>
      <c r="DL112" s="166"/>
      <c r="DM112" s="166"/>
      <c r="DN112" s="166"/>
      <c r="DO112" s="166"/>
      <c r="DP112" s="166"/>
      <c r="DQ112" s="166"/>
      <c r="DR112" s="166"/>
      <c r="DS112" s="166"/>
      <c r="DT112" s="166"/>
      <c r="DU112" s="166"/>
      <c r="DV112" s="166"/>
      <c r="DW112" s="166"/>
      <c r="DX112" s="166"/>
      <c r="DY112" s="166"/>
      <c r="DZ112" s="166"/>
      <c r="EA112" s="166"/>
      <c r="EB112" s="166"/>
      <c r="EC112" s="166"/>
      <c r="ED112" s="166"/>
      <c r="EE112" s="166"/>
      <c r="EF112" s="166"/>
      <c r="EG112" s="166"/>
      <c r="EH112" s="166"/>
      <c r="EI112" s="166"/>
      <c r="EJ112" s="166"/>
      <c r="EK112" s="166"/>
      <c r="EL112" s="166"/>
      <c r="EM112" s="166"/>
      <c r="EN112" s="166"/>
      <c r="EO112" s="166"/>
      <c r="EP112" s="166"/>
      <c r="EQ112" s="166"/>
      <c r="ER112" s="166"/>
      <c r="ES112" s="166"/>
      <c r="ET112" s="166"/>
      <c r="EU112" s="166"/>
      <c r="EV112" s="166"/>
      <c r="EW112" s="166"/>
      <c r="EX112" s="166"/>
      <c r="EY112" s="166"/>
      <c r="EZ112" s="166"/>
      <c r="FA112" s="166"/>
      <c r="FB112" s="166"/>
      <c r="FC112" s="166"/>
      <c r="FD112" s="166"/>
      <c r="FE112" s="166"/>
      <c r="FF112" s="166"/>
      <c r="FG112" s="166"/>
      <c r="FH112" s="166"/>
      <c r="FI112" s="166"/>
      <c r="FJ112" s="166"/>
      <c r="FK112" s="166"/>
      <c r="FL112" s="166"/>
      <c r="FM112" s="166"/>
      <c r="FN112" s="166"/>
      <c r="FO112" s="166"/>
      <c r="FP112" s="166"/>
      <c r="FQ112" s="166"/>
      <c r="FR112" s="166"/>
      <c r="FS112" s="166"/>
      <c r="FT112" s="166"/>
      <c r="FU112" s="166"/>
      <c r="FV112" s="166"/>
      <c r="FW112" s="166"/>
      <c r="FX112" s="166"/>
      <c r="FY112" s="166"/>
      <c r="FZ112" s="166"/>
      <c r="GA112" s="166"/>
      <c r="GB112" s="166"/>
      <c r="GC112" s="166"/>
      <c r="GD112" s="166"/>
      <c r="GE112" s="166"/>
      <c r="GF112" s="166"/>
      <c r="GG112" s="166"/>
      <c r="GH112" s="166"/>
      <c r="GI112" s="166"/>
      <c r="GJ112" s="166"/>
      <c r="GK112" s="166"/>
      <c r="GL112" s="166"/>
      <c r="GM112" s="166"/>
      <c r="GN112" s="166"/>
      <c r="GO112" s="166"/>
      <c r="GP112" s="166"/>
      <c r="GQ112" s="166"/>
      <c r="GR112" s="166"/>
      <c r="GS112" s="166"/>
      <c r="GT112" s="166"/>
      <c r="GU112" s="166"/>
      <c r="GV112" s="166"/>
      <c r="GW112" s="166"/>
      <c r="GX112" s="166"/>
      <c r="GY112" s="166"/>
      <c r="GZ112" s="166"/>
      <c r="HA112" s="166"/>
      <c r="HB112" s="166"/>
      <c r="HC112" s="166"/>
      <c r="HD112" s="166"/>
      <c r="HE112" s="166"/>
      <c r="HF112" s="166"/>
      <c r="HG112" s="166"/>
      <c r="HH112" s="166"/>
      <c r="HI112" s="166"/>
      <c r="HJ112" s="166"/>
      <c r="HK112" s="166"/>
      <c r="HL112" s="166"/>
      <c r="HM112" s="166"/>
      <c r="HN112" s="166"/>
      <c r="HO112" s="166"/>
      <c r="HP112" s="166"/>
      <c r="HQ112" s="166"/>
      <c r="HR112" s="166"/>
      <c r="HS112" s="166"/>
      <c r="HT112" s="166"/>
      <c r="HU112" s="166"/>
      <c r="HV112" s="166"/>
      <c r="HW112" s="166"/>
      <c r="HX112" s="166"/>
      <c r="HY112" s="166"/>
      <c r="HZ112" s="166"/>
      <c r="IA112" s="166"/>
      <c r="IB112" s="166"/>
      <c r="IC112" s="166"/>
      <c r="ID112" s="166"/>
      <c r="IE112" s="166"/>
      <c r="IF112" s="166"/>
      <c r="IG112" s="166"/>
      <c r="IH112" s="166"/>
      <c r="II112" s="166"/>
      <c r="IJ112" s="166"/>
      <c r="IK112" s="166"/>
      <c r="IL112" s="166"/>
      <c r="IM112" s="166"/>
      <c r="IN112" s="166"/>
      <c r="IO112" s="166"/>
      <c r="IP112" s="166"/>
      <c r="IQ112" s="166"/>
      <c r="IR112" s="166"/>
      <c r="IS112" s="166"/>
      <c r="IT112" s="166"/>
      <c r="IU112" s="166"/>
      <c r="IV112" s="166"/>
    </row>
    <row r="113" spans="1:256" x14ac:dyDescent="0.25">
      <c r="A113" s="326">
        <f>A112</f>
        <v>0</v>
      </c>
      <c r="B113" s="207" t="str">
        <f>Traducción!$B$24&amp;" 14"</f>
        <v>Sem. 14</v>
      </c>
      <c r="C113" s="301">
        <f>SUM(C106:C112)</f>
        <v>0</v>
      </c>
      <c r="D113" s="288">
        <f t="shared" ref="D113" si="33">IFERROR(AVERAGE(D106:D112), )</f>
        <v>0</v>
      </c>
      <c r="E113" s="296">
        <f t="shared" ref="E113:F113" si="34">SUM(E106:E112)</f>
        <v>0</v>
      </c>
      <c r="F113" s="296">
        <f t="shared" si="34"/>
        <v>0</v>
      </c>
      <c r="G113" s="288">
        <f t="shared" ref="G113:I113" si="35">IFERROR(AVERAGE(G106:G112), )</f>
        <v>0</v>
      </c>
      <c r="H113" s="210">
        <f t="shared" si="35"/>
        <v>0</v>
      </c>
      <c r="I113" s="210">
        <f t="shared" si="35"/>
        <v>0</v>
      </c>
      <c r="J113" s="202"/>
      <c r="K113" s="38"/>
      <c r="L113" s="166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  <c r="BK113" s="166"/>
      <c r="BL113" s="166"/>
      <c r="BM113" s="166"/>
      <c r="BN113" s="166"/>
      <c r="BO113" s="166"/>
      <c r="BP113" s="166"/>
      <c r="BQ113" s="166"/>
      <c r="BR113" s="166"/>
      <c r="BS113" s="166"/>
      <c r="BT113" s="166"/>
      <c r="BU113" s="166"/>
      <c r="BV113" s="166"/>
      <c r="BW113" s="166"/>
      <c r="BX113" s="166"/>
      <c r="BY113" s="166"/>
      <c r="BZ113" s="166"/>
      <c r="CA113" s="166"/>
      <c r="CB113" s="166"/>
      <c r="CC113" s="166"/>
      <c r="CD113" s="166"/>
      <c r="CE113" s="166"/>
      <c r="CF113" s="166"/>
      <c r="CG113" s="166"/>
      <c r="CH113" s="166"/>
      <c r="CI113" s="166"/>
      <c r="CJ113" s="166"/>
      <c r="CK113" s="166"/>
      <c r="CL113" s="166"/>
      <c r="CM113" s="166"/>
      <c r="CN113" s="166"/>
      <c r="CO113" s="166"/>
      <c r="CP113" s="166"/>
      <c r="CQ113" s="166"/>
      <c r="CR113" s="166"/>
      <c r="CS113" s="166"/>
      <c r="CT113" s="166"/>
      <c r="CU113" s="166"/>
      <c r="CV113" s="166"/>
      <c r="CW113" s="166"/>
      <c r="CX113" s="166"/>
      <c r="CY113" s="166"/>
      <c r="CZ113" s="166"/>
      <c r="DA113" s="166"/>
      <c r="DB113" s="166"/>
      <c r="DC113" s="166"/>
      <c r="DD113" s="166"/>
      <c r="DE113" s="166"/>
      <c r="DF113" s="166"/>
      <c r="DG113" s="166"/>
      <c r="DH113" s="166"/>
      <c r="DI113" s="166"/>
      <c r="DJ113" s="166"/>
      <c r="DK113" s="166"/>
      <c r="DL113" s="166"/>
      <c r="DM113" s="166"/>
      <c r="DN113" s="166"/>
      <c r="DO113" s="166"/>
      <c r="DP113" s="166"/>
      <c r="DQ113" s="166"/>
      <c r="DR113" s="166"/>
      <c r="DS113" s="166"/>
      <c r="DT113" s="166"/>
      <c r="DU113" s="166"/>
      <c r="DV113" s="166"/>
      <c r="DW113" s="166"/>
      <c r="DX113" s="166"/>
      <c r="DY113" s="166"/>
      <c r="DZ113" s="166"/>
      <c r="EA113" s="166"/>
      <c r="EB113" s="166"/>
      <c r="EC113" s="166"/>
      <c r="ED113" s="166"/>
      <c r="EE113" s="166"/>
      <c r="EF113" s="166"/>
      <c r="EG113" s="166"/>
      <c r="EH113" s="166"/>
      <c r="EI113" s="166"/>
      <c r="EJ113" s="166"/>
      <c r="EK113" s="166"/>
      <c r="EL113" s="166"/>
      <c r="EM113" s="166"/>
      <c r="EN113" s="166"/>
      <c r="EO113" s="166"/>
      <c r="EP113" s="166"/>
      <c r="EQ113" s="166"/>
      <c r="ER113" s="166"/>
      <c r="ES113" s="166"/>
      <c r="ET113" s="166"/>
      <c r="EU113" s="166"/>
      <c r="EV113" s="166"/>
      <c r="EW113" s="166"/>
      <c r="EX113" s="166"/>
      <c r="EY113" s="166"/>
      <c r="EZ113" s="166"/>
      <c r="FA113" s="166"/>
      <c r="FB113" s="166"/>
      <c r="FC113" s="166"/>
      <c r="FD113" s="166"/>
      <c r="FE113" s="166"/>
      <c r="FF113" s="166"/>
      <c r="FG113" s="166"/>
      <c r="FH113" s="166"/>
      <c r="FI113" s="166"/>
      <c r="FJ113" s="166"/>
      <c r="FK113" s="166"/>
      <c r="FL113" s="166"/>
      <c r="FM113" s="166"/>
      <c r="FN113" s="166"/>
      <c r="FO113" s="166"/>
      <c r="FP113" s="166"/>
      <c r="FQ113" s="166"/>
      <c r="FR113" s="166"/>
      <c r="FS113" s="166"/>
      <c r="FT113" s="166"/>
      <c r="FU113" s="166"/>
      <c r="FV113" s="166"/>
      <c r="FW113" s="166"/>
      <c r="FX113" s="166"/>
      <c r="FY113" s="166"/>
      <c r="FZ113" s="166"/>
      <c r="GA113" s="166"/>
      <c r="GB113" s="166"/>
      <c r="GC113" s="166"/>
      <c r="GD113" s="166"/>
      <c r="GE113" s="166"/>
      <c r="GF113" s="166"/>
      <c r="GG113" s="166"/>
      <c r="GH113" s="166"/>
      <c r="GI113" s="166"/>
      <c r="GJ113" s="166"/>
      <c r="GK113" s="166"/>
      <c r="GL113" s="166"/>
      <c r="GM113" s="166"/>
      <c r="GN113" s="166"/>
      <c r="GO113" s="166"/>
      <c r="GP113" s="166"/>
      <c r="GQ113" s="166"/>
      <c r="GR113" s="166"/>
      <c r="GS113" s="166"/>
      <c r="GT113" s="166"/>
      <c r="GU113" s="166"/>
      <c r="GV113" s="166"/>
      <c r="GW113" s="166"/>
      <c r="GX113" s="166"/>
      <c r="GY113" s="166"/>
      <c r="GZ113" s="166"/>
      <c r="HA113" s="166"/>
      <c r="HB113" s="166"/>
      <c r="HC113" s="166"/>
      <c r="HD113" s="166"/>
      <c r="HE113" s="166"/>
      <c r="HF113" s="166"/>
      <c r="HG113" s="166"/>
      <c r="HH113" s="166"/>
      <c r="HI113" s="166"/>
      <c r="HJ113" s="166"/>
      <c r="HK113" s="166"/>
      <c r="HL113" s="166"/>
      <c r="HM113" s="166"/>
      <c r="HN113" s="166"/>
      <c r="HO113" s="166"/>
      <c r="HP113" s="166"/>
      <c r="HQ113" s="166"/>
      <c r="HR113" s="166"/>
      <c r="HS113" s="166"/>
      <c r="HT113" s="166"/>
      <c r="HU113" s="166"/>
      <c r="HV113" s="166"/>
      <c r="HW113" s="166"/>
      <c r="HX113" s="166"/>
      <c r="HY113" s="166"/>
      <c r="HZ113" s="166"/>
      <c r="IA113" s="166"/>
      <c r="IB113" s="166"/>
      <c r="IC113" s="166"/>
      <c r="ID113" s="166"/>
      <c r="IE113" s="166"/>
      <c r="IF113" s="166"/>
      <c r="IG113" s="166"/>
      <c r="IH113" s="166"/>
      <c r="II113" s="166"/>
      <c r="IJ113" s="166"/>
      <c r="IK113" s="166"/>
      <c r="IL113" s="166"/>
      <c r="IM113" s="166"/>
      <c r="IN113" s="166"/>
      <c r="IO113" s="166"/>
      <c r="IP113" s="166"/>
      <c r="IQ113" s="166"/>
      <c r="IR113" s="166"/>
      <c r="IS113" s="166"/>
      <c r="IT113" s="166"/>
      <c r="IU113" s="166"/>
      <c r="IV113" s="166"/>
    </row>
    <row r="114" spans="1:256" x14ac:dyDescent="0.25">
      <c r="A114" s="325">
        <f>IF(Info!$J$3&gt;0,Info!$J$3+B114, )</f>
        <v>0</v>
      </c>
      <c r="B114" s="215">
        <v>99</v>
      </c>
      <c r="C114" s="299"/>
      <c r="D114" s="211"/>
      <c r="E114" s="294"/>
      <c r="F114" s="294"/>
      <c r="G114" s="211"/>
      <c r="H114" s="211"/>
      <c r="I114" s="211"/>
      <c r="J114" s="204"/>
      <c r="K114" s="38"/>
      <c r="L114" s="166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  <c r="BK114" s="166"/>
      <c r="BL114" s="166"/>
      <c r="BM114" s="166"/>
      <c r="BN114" s="166"/>
      <c r="BO114" s="166"/>
      <c r="BP114" s="166"/>
      <c r="BQ114" s="166"/>
      <c r="BR114" s="166"/>
      <c r="BS114" s="166"/>
      <c r="BT114" s="166"/>
      <c r="BU114" s="166"/>
      <c r="BV114" s="166"/>
      <c r="BW114" s="166"/>
      <c r="BX114" s="166"/>
      <c r="BY114" s="166"/>
      <c r="BZ114" s="166"/>
      <c r="CA114" s="166"/>
      <c r="CB114" s="166"/>
      <c r="CC114" s="166"/>
      <c r="CD114" s="166"/>
      <c r="CE114" s="166"/>
      <c r="CF114" s="166"/>
      <c r="CG114" s="166"/>
      <c r="CH114" s="166"/>
      <c r="CI114" s="166"/>
      <c r="CJ114" s="166"/>
      <c r="CK114" s="166"/>
      <c r="CL114" s="166"/>
      <c r="CM114" s="166"/>
      <c r="CN114" s="166"/>
      <c r="CO114" s="166"/>
      <c r="CP114" s="166"/>
      <c r="CQ114" s="166"/>
      <c r="CR114" s="166"/>
      <c r="CS114" s="166"/>
      <c r="CT114" s="166"/>
      <c r="CU114" s="166"/>
      <c r="CV114" s="166"/>
      <c r="CW114" s="166"/>
      <c r="CX114" s="166"/>
      <c r="CY114" s="166"/>
      <c r="CZ114" s="166"/>
      <c r="DA114" s="166"/>
      <c r="DB114" s="166"/>
      <c r="DC114" s="166"/>
      <c r="DD114" s="166"/>
      <c r="DE114" s="166"/>
      <c r="DF114" s="166"/>
      <c r="DG114" s="166"/>
      <c r="DH114" s="166"/>
      <c r="DI114" s="166"/>
      <c r="DJ114" s="166"/>
      <c r="DK114" s="166"/>
      <c r="DL114" s="166"/>
      <c r="DM114" s="166"/>
      <c r="DN114" s="166"/>
      <c r="DO114" s="166"/>
      <c r="DP114" s="166"/>
      <c r="DQ114" s="166"/>
      <c r="DR114" s="166"/>
      <c r="DS114" s="166"/>
      <c r="DT114" s="166"/>
      <c r="DU114" s="166"/>
      <c r="DV114" s="166"/>
      <c r="DW114" s="166"/>
      <c r="DX114" s="166"/>
      <c r="DY114" s="166"/>
      <c r="DZ114" s="166"/>
      <c r="EA114" s="166"/>
      <c r="EB114" s="166"/>
      <c r="EC114" s="166"/>
      <c r="ED114" s="166"/>
      <c r="EE114" s="166"/>
      <c r="EF114" s="166"/>
      <c r="EG114" s="166"/>
      <c r="EH114" s="166"/>
      <c r="EI114" s="166"/>
      <c r="EJ114" s="166"/>
      <c r="EK114" s="166"/>
      <c r="EL114" s="166"/>
      <c r="EM114" s="166"/>
      <c r="EN114" s="166"/>
      <c r="EO114" s="166"/>
      <c r="EP114" s="166"/>
      <c r="EQ114" s="166"/>
      <c r="ER114" s="166"/>
      <c r="ES114" s="166"/>
      <c r="ET114" s="166"/>
      <c r="EU114" s="166"/>
      <c r="EV114" s="166"/>
      <c r="EW114" s="166"/>
      <c r="EX114" s="166"/>
      <c r="EY114" s="166"/>
      <c r="EZ114" s="166"/>
      <c r="FA114" s="166"/>
      <c r="FB114" s="166"/>
      <c r="FC114" s="166"/>
      <c r="FD114" s="166"/>
      <c r="FE114" s="166"/>
      <c r="FF114" s="166"/>
      <c r="FG114" s="166"/>
      <c r="FH114" s="166"/>
      <c r="FI114" s="166"/>
      <c r="FJ114" s="166"/>
      <c r="FK114" s="166"/>
      <c r="FL114" s="166"/>
      <c r="FM114" s="166"/>
      <c r="FN114" s="166"/>
      <c r="FO114" s="166"/>
      <c r="FP114" s="166"/>
      <c r="FQ114" s="166"/>
      <c r="FR114" s="166"/>
      <c r="FS114" s="166"/>
      <c r="FT114" s="166"/>
      <c r="FU114" s="166"/>
      <c r="FV114" s="166"/>
      <c r="FW114" s="166"/>
      <c r="FX114" s="166"/>
      <c r="FY114" s="166"/>
      <c r="FZ114" s="166"/>
      <c r="GA114" s="166"/>
      <c r="GB114" s="166"/>
      <c r="GC114" s="166"/>
      <c r="GD114" s="166"/>
      <c r="GE114" s="166"/>
      <c r="GF114" s="166"/>
      <c r="GG114" s="166"/>
      <c r="GH114" s="166"/>
      <c r="GI114" s="166"/>
      <c r="GJ114" s="166"/>
      <c r="GK114" s="166"/>
      <c r="GL114" s="166"/>
      <c r="GM114" s="166"/>
      <c r="GN114" s="166"/>
      <c r="GO114" s="166"/>
      <c r="GP114" s="166"/>
      <c r="GQ114" s="166"/>
      <c r="GR114" s="166"/>
      <c r="GS114" s="166"/>
      <c r="GT114" s="166"/>
      <c r="GU114" s="166"/>
      <c r="GV114" s="166"/>
      <c r="GW114" s="166"/>
      <c r="GX114" s="166"/>
      <c r="GY114" s="166"/>
      <c r="GZ114" s="166"/>
      <c r="HA114" s="166"/>
      <c r="HB114" s="166"/>
      <c r="HC114" s="166"/>
      <c r="HD114" s="166"/>
      <c r="HE114" s="166"/>
      <c r="HF114" s="166"/>
      <c r="HG114" s="166"/>
      <c r="HH114" s="166"/>
      <c r="HI114" s="166"/>
      <c r="HJ114" s="166"/>
      <c r="HK114" s="166"/>
      <c r="HL114" s="166"/>
      <c r="HM114" s="166"/>
      <c r="HN114" s="166"/>
      <c r="HO114" s="166"/>
      <c r="HP114" s="166"/>
      <c r="HQ114" s="166"/>
      <c r="HR114" s="166"/>
      <c r="HS114" s="166"/>
      <c r="HT114" s="166"/>
      <c r="HU114" s="166"/>
      <c r="HV114" s="166"/>
      <c r="HW114" s="166"/>
      <c r="HX114" s="166"/>
      <c r="HY114" s="166"/>
      <c r="HZ114" s="166"/>
      <c r="IA114" s="166"/>
      <c r="IB114" s="166"/>
      <c r="IC114" s="166"/>
      <c r="ID114" s="166"/>
      <c r="IE114" s="166"/>
      <c r="IF114" s="166"/>
      <c r="IG114" s="166"/>
      <c r="IH114" s="166"/>
      <c r="II114" s="166"/>
      <c r="IJ114" s="166"/>
      <c r="IK114" s="166"/>
      <c r="IL114" s="166"/>
      <c r="IM114" s="166"/>
      <c r="IN114" s="166"/>
      <c r="IO114" s="166"/>
      <c r="IP114" s="166"/>
      <c r="IQ114" s="166"/>
      <c r="IR114" s="166"/>
      <c r="IS114" s="166"/>
      <c r="IT114" s="166"/>
      <c r="IU114" s="166"/>
      <c r="IV114" s="166"/>
    </row>
    <row r="115" spans="1:256" x14ac:dyDescent="0.25">
      <c r="A115" s="325">
        <f>IF(Info!$J$3&gt;0,Info!$J$3+B115, )</f>
        <v>0</v>
      </c>
      <c r="B115" s="215">
        <v>100</v>
      </c>
      <c r="C115" s="299"/>
      <c r="D115" s="211"/>
      <c r="E115" s="294"/>
      <c r="F115" s="294"/>
      <c r="G115" s="211"/>
      <c r="H115" s="211"/>
      <c r="I115" s="211"/>
      <c r="J115" s="205"/>
      <c r="K115" s="38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  <c r="BK115" s="166"/>
      <c r="BL115" s="166"/>
      <c r="BM115" s="166"/>
      <c r="BN115" s="166"/>
      <c r="BO115" s="166"/>
      <c r="BP115" s="166"/>
      <c r="BQ115" s="166"/>
      <c r="BR115" s="166"/>
      <c r="BS115" s="166"/>
      <c r="BT115" s="166"/>
      <c r="BU115" s="166"/>
      <c r="BV115" s="166"/>
      <c r="BW115" s="166"/>
      <c r="BX115" s="166"/>
      <c r="BY115" s="166"/>
      <c r="BZ115" s="166"/>
      <c r="CA115" s="166"/>
      <c r="CB115" s="166"/>
      <c r="CC115" s="166"/>
      <c r="CD115" s="166"/>
      <c r="CE115" s="166"/>
      <c r="CF115" s="166"/>
      <c r="CG115" s="166"/>
      <c r="CH115" s="166"/>
      <c r="CI115" s="166"/>
      <c r="CJ115" s="166"/>
      <c r="CK115" s="166"/>
      <c r="CL115" s="166"/>
      <c r="CM115" s="166"/>
      <c r="CN115" s="166"/>
      <c r="CO115" s="166"/>
      <c r="CP115" s="166"/>
      <c r="CQ115" s="166"/>
      <c r="CR115" s="166"/>
      <c r="CS115" s="166"/>
      <c r="CT115" s="166"/>
      <c r="CU115" s="166"/>
      <c r="CV115" s="166"/>
      <c r="CW115" s="166"/>
      <c r="CX115" s="166"/>
      <c r="CY115" s="166"/>
      <c r="CZ115" s="166"/>
      <c r="DA115" s="166"/>
      <c r="DB115" s="166"/>
      <c r="DC115" s="166"/>
      <c r="DD115" s="166"/>
      <c r="DE115" s="166"/>
      <c r="DF115" s="166"/>
      <c r="DG115" s="166"/>
      <c r="DH115" s="166"/>
      <c r="DI115" s="166"/>
      <c r="DJ115" s="166"/>
      <c r="DK115" s="166"/>
      <c r="DL115" s="166"/>
      <c r="DM115" s="166"/>
      <c r="DN115" s="166"/>
      <c r="DO115" s="166"/>
      <c r="DP115" s="166"/>
      <c r="DQ115" s="166"/>
      <c r="DR115" s="166"/>
      <c r="DS115" s="166"/>
      <c r="DT115" s="166"/>
      <c r="DU115" s="166"/>
      <c r="DV115" s="166"/>
      <c r="DW115" s="166"/>
      <c r="DX115" s="166"/>
      <c r="DY115" s="166"/>
      <c r="DZ115" s="166"/>
      <c r="EA115" s="166"/>
      <c r="EB115" s="166"/>
      <c r="EC115" s="166"/>
      <c r="ED115" s="166"/>
      <c r="EE115" s="166"/>
      <c r="EF115" s="166"/>
      <c r="EG115" s="166"/>
      <c r="EH115" s="166"/>
      <c r="EI115" s="166"/>
      <c r="EJ115" s="166"/>
      <c r="EK115" s="166"/>
      <c r="EL115" s="166"/>
      <c r="EM115" s="166"/>
      <c r="EN115" s="166"/>
      <c r="EO115" s="166"/>
      <c r="EP115" s="166"/>
      <c r="EQ115" s="166"/>
      <c r="ER115" s="166"/>
      <c r="ES115" s="166"/>
      <c r="ET115" s="166"/>
      <c r="EU115" s="166"/>
      <c r="EV115" s="166"/>
      <c r="EW115" s="166"/>
      <c r="EX115" s="166"/>
      <c r="EY115" s="166"/>
      <c r="EZ115" s="166"/>
      <c r="FA115" s="166"/>
      <c r="FB115" s="166"/>
      <c r="FC115" s="166"/>
      <c r="FD115" s="166"/>
      <c r="FE115" s="166"/>
      <c r="FF115" s="166"/>
      <c r="FG115" s="166"/>
      <c r="FH115" s="166"/>
      <c r="FI115" s="166"/>
      <c r="FJ115" s="166"/>
      <c r="FK115" s="166"/>
      <c r="FL115" s="166"/>
      <c r="FM115" s="166"/>
      <c r="FN115" s="166"/>
      <c r="FO115" s="166"/>
      <c r="FP115" s="166"/>
      <c r="FQ115" s="166"/>
      <c r="FR115" s="166"/>
      <c r="FS115" s="166"/>
      <c r="FT115" s="166"/>
      <c r="FU115" s="166"/>
      <c r="FV115" s="166"/>
      <c r="FW115" s="166"/>
      <c r="FX115" s="166"/>
      <c r="FY115" s="166"/>
      <c r="FZ115" s="166"/>
      <c r="GA115" s="166"/>
      <c r="GB115" s="166"/>
      <c r="GC115" s="166"/>
      <c r="GD115" s="166"/>
      <c r="GE115" s="166"/>
      <c r="GF115" s="166"/>
      <c r="GG115" s="166"/>
      <c r="GH115" s="166"/>
      <c r="GI115" s="166"/>
      <c r="GJ115" s="166"/>
      <c r="GK115" s="166"/>
      <c r="GL115" s="166"/>
      <c r="GM115" s="166"/>
      <c r="GN115" s="166"/>
      <c r="GO115" s="166"/>
      <c r="GP115" s="166"/>
      <c r="GQ115" s="166"/>
      <c r="GR115" s="166"/>
      <c r="GS115" s="166"/>
      <c r="GT115" s="166"/>
      <c r="GU115" s="166"/>
      <c r="GV115" s="166"/>
      <c r="GW115" s="166"/>
      <c r="GX115" s="166"/>
      <c r="GY115" s="166"/>
      <c r="GZ115" s="166"/>
      <c r="HA115" s="166"/>
      <c r="HB115" s="166"/>
      <c r="HC115" s="166"/>
      <c r="HD115" s="166"/>
      <c r="HE115" s="166"/>
      <c r="HF115" s="166"/>
      <c r="HG115" s="166"/>
      <c r="HH115" s="166"/>
      <c r="HI115" s="166"/>
      <c r="HJ115" s="166"/>
      <c r="HK115" s="166"/>
      <c r="HL115" s="166"/>
      <c r="HM115" s="166"/>
      <c r="HN115" s="166"/>
      <c r="HO115" s="166"/>
      <c r="HP115" s="166"/>
      <c r="HQ115" s="166"/>
      <c r="HR115" s="166"/>
      <c r="HS115" s="166"/>
      <c r="HT115" s="166"/>
      <c r="HU115" s="166"/>
      <c r="HV115" s="166"/>
      <c r="HW115" s="166"/>
      <c r="HX115" s="166"/>
      <c r="HY115" s="166"/>
      <c r="HZ115" s="166"/>
      <c r="IA115" s="166"/>
      <c r="IB115" s="166"/>
      <c r="IC115" s="166"/>
      <c r="ID115" s="166"/>
      <c r="IE115" s="166"/>
      <c r="IF115" s="166"/>
      <c r="IG115" s="166"/>
      <c r="IH115" s="166"/>
      <c r="II115" s="166"/>
      <c r="IJ115" s="166"/>
      <c r="IK115" s="166"/>
      <c r="IL115" s="166"/>
      <c r="IM115" s="166"/>
      <c r="IN115" s="166"/>
      <c r="IO115" s="166"/>
      <c r="IP115" s="166"/>
      <c r="IQ115" s="166"/>
      <c r="IR115" s="166"/>
      <c r="IS115" s="166"/>
      <c r="IT115" s="166"/>
      <c r="IU115" s="166"/>
      <c r="IV115" s="166"/>
    </row>
    <row r="116" spans="1:256" x14ac:dyDescent="0.25">
      <c r="A116" s="325">
        <f>IF(Info!$J$3&gt;0,Info!$J$3+B116, )</f>
        <v>0</v>
      </c>
      <c r="B116" s="215">
        <v>101</v>
      </c>
      <c r="C116" s="299"/>
      <c r="D116" s="211"/>
      <c r="E116" s="294"/>
      <c r="F116" s="294"/>
      <c r="G116" s="211"/>
      <c r="H116" s="211"/>
      <c r="I116" s="211"/>
      <c r="J116" s="205"/>
      <c r="K116" s="38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  <c r="BK116" s="166"/>
      <c r="BL116" s="166"/>
      <c r="BM116" s="166"/>
      <c r="BN116" s="166"/>
      <c r="BO116" s="166"/>
      <c r="BP116" s="166"/>
      <c r="BQ116" s="166"/>
      <c r="BR116" s="166"/>
      <c r="BS116" s="166"/>
      <c r="BT116" s="166"/>
      <c r="BU116" s="166"/>
      <c r="BV116" s="166"/>
      <c r="BW116" s="166"/>
      <c r="BX116" s="166"/>
      <c r="BY116" s="166"/>
      <c r="BZ116" s="166"/>
      <c r="CA116" s="166"/>
      <c r="CB116" s="166"/>
      <c r="CC116" s="166"/>
      <c r="CD116" s="166"/>
      <c r="CE116" s="166"/>
      <c r="CF116" s="166"/>
      <c r="CG116" s="166"/>
      <c r="CH116" s="166"/>
      <c r="CI116" s="166"/>
      <c r="CJ116" s="166"/>
      <c r="CK116" s="166"/>
      <c r="CL116" s="166"/>
      <c r="CM116" s="166"/>
      <c r="CN116" s="166"/>
      <c r="CO116" s="166"/>
      <c r="CP116" s="166"/>
      <c r="CQ116" s="166"/>
      <c r="CR116" s="166"/>
      <c r="CS116" s="166"/>
      <c r="CT116" s="166"/>
      <c r="CU116" s="166"/>
      <c r="CV116" s="166"/>
      <c r="CW116" s="166"/>
      <c r="CX116" s="166"/>
      <c r="CY116" s="166"/>
      <c r="CZ116" s="166"/>
      <c r="DA116" s="166"/>
      <c r="DB116" s="166"/>
      <c r="DC116" s="166"/>
      <c r="DD116" s="166"/>
      <c r="DE116" s="166"/>
      <c r="DF116" s="166"/>
      <c r="DG116" s="166"/>
      <c r="DH116" s="166"/>
      <c r="DI116" s="166"/>
      <c r="DJ116" s="166"/>
      <c r="DK116" s="166"/>
      <c r="DL116" s="166"/>
      <c r="DM116" s="166"/>
      <c r="DN116" s="166"/>
      <c r="DO116" s="166"/>
      <c r="DP116" s="166"/>
      <c r="DQ116" s="166"/>
      <c r="DR116" s="166"/>
      <c r="DS116" s="166"/>
      <c r="DT116" s="166"/>
      <c r="DU116" s="166"/>
      <c r="DV116" s="166"/>
      <c r="DW116" s="166"/>
      <c r="DX116" s="166"/>
      <c r="DY116" s="166"/>
      <c r="DZ116" s="166"/>
      <c r="EA116" s="166"/>
      <c r="EB116" s="166"/>
      <c r="EC116" s="166"/>
      <c r="ED116" s="166"/>
      <c r="EE116" s="166"/>
      <c r="EF116" s="166"/>
      <c r="EG116" s="166"/>
      <c r="EH116" s="166"/>
      <c r="EI116" s="166"/>
      <c r="EJ116" s="166"/>
      <c r="EK116" s="166"/>
      <c r="EL116" s="166"/>
      <c r="EM116" s="166"/>
      <c r="EN116" s="166"/>
      <c r="EO116" s="166"/>
      <c r="EP116" s="166"/>
      <c r="EQ116" s="166"/>
      <c r="ER116" s="166"/>
      <c r="ES116" s="166"/>
      <c r="ET116" s="166"/>
      <c r="EU116" s="166"/>
      <c r="EV116" s="166"/>
      <c r="EW116" s="166"/>
      <c r="EX116" s="166"/>
      <c r="EY116" s="166"/>
      <c r="EZ116" s="166"/>
      <c r="FA116" s="166"/>
      <c r="FB116" s="166"/>
      <c r="FC116" s="166"/>
      <c r="FD116" s="166"/>
      <c r="FE116" s="166"/>
      <c r="FF116" s="166"/>
      <c r="FG116" s="166"/>
      <c r="FH116" s="166"/>
      <c r="FI116" s="166"/>
      <c r="FJ116" s="166"/>
      <c r="FK116" s="166"/>
      <c r="FL116" s="166"/>
      <c r="FM116" s="166"/>
      <c r="FN116" s="166"/>
      <c r="FO116" s="166"/>
      <c r="FP116" s="166"/>
      <c r="FQ116" s="166"/>
      <c r="FR116" s="166"/>
      <c r="FS116" s="166"/>
      <c r="FT116" s="166"/>
      <c r="FU116" s="166"/>
      <c r="FV116" s="166"/>
      <c r="FW116" s="166"/>
      <c r="FX116" s="166"/>
      <c r="FY116" s="166"/>
      <c r="FZ116" s="166"/>
      <c r="GA116" s="166"/>
      <c r="GB116" s="166"/>
      <c r="GC116" s="166"/>
      <c r="GD116" s="166"/>
      <c r="GE116" s="166"/>
      <c r="GF116" s="166"/>
      <c r="GG116" s="166"/>
      <c r="GH116" s="166"/>
      <c r="GI116" s="166"/>
      <c r="GJ116" s="166"/>
      <c r="GK116" s="166"/>
      <c r="GL116" s="166"/>
      <c r="GM116" s="166"/>
      <c r="GN116" s="166"/>
      <c r="GO116" s="166"/>
      <c r="GP116" s="166"/>
      <c r="GQ116" s="166"/>
      <c r="GR116" s="166"/>
      <c r="GS116" s="166"/>
      <c r="GT116" s="166"/>
      <c r="GU116" s="166"/>
      <c r="GV116" s="166"/>
      <c r="GW116" s="166"/>
      <c r="GX116" s="166"/>
      <c r="GY116" s="166"/>
      <c r="GZ116" s="166"/>
      <c r="HA116" s="166"/>
      <c r="HB116" s="166"/>
      <c r="HC116" s="166"/>
      <c r="HD116" s="166"/>
      <c r="HE116" s="166"/>
      <c r="HF116" s="166"/>
      <c r="HG116" s="166"/>
      <c r="HH116" s="166"/>
      <c r="HI116" s="166"/>
      <c r="HJ116" s="166"/>
      <c r="HK116" s="166"/>
      <c r="HL116" s="166"/>
      <c r="HM116" s="166"/>
      <c r="HN116" s="166"/>
      <c r="HO116" s="166"/>
      <c r="HP116" s="166"/>
      <c r="HQ116" s="166"/>
      <c r="HR116" s="166"/>
      <c r="HS116" s="166"/>
      <c r="HT116" s="166"/>
      <c r="HU116" s="166"/>
      <c r="HV116" s="166"/>
      <c r="HW116" s="166"/>
      <c r="HX116" s="166"/>
      <c r="HY116" s="166"/>
      <c r="HZ116" s="166"/>
      <c r="IA116" s="166"/>
      <c r="IB116" s="166"/>
      <c r="IC116" s="166"/>
      <c r="ID116" s="166"/>
      <c r="IE116" s="166"/>
      <c r="IF116" s="166"/>
      <c r="IG116" s="166"/>
      <c r="IH116" s="166"/>
      <c r="II116" s="166"/>
      <c r="IJ116" s="166"/>
      <c r="IK116" s="166"/>
      <c r="IL116" s="166"/>
      <c r="IM116" s="166"/>
      <c r="IN116" s="166"/>
      <c r="IO116" s="166"/>
      <c r="IP116" s="166"/>
      <c r="IQ116" s="166"/>
      <c r="IR116" s="166"/>
      <c r="IS116" s="166"/>
      <c r="IT116" s="166"/>
      <c r="IU116" s="166"/>
      <c r="IV116" s="166"/>
    </row>
    <row r="117" spans="1:256" x14ac:dyDescent="0.25">
      <c r="A117" s="325">
        <f>IF(Info!$J$3&gt;0,Info!$J$3+B117, )</f>
        <v>0</v>
      </c>
      <c r="B117" s="215">
        <v>102</v>
      </c>
      <c r="C117" s="300"/>
      <c r="D117" s="211"/>
      <c r="E117" s="294"/>
      <c r="F117" s="294"/>
      <c r="G117" s="211"/>
      <c r="H117" s="211"/>
      <c r="I117" s="211"/>
      <c r="J117" s="205"/>
      <c r="K117" s="38"/>
      <c r="L117" s="166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  <c r="BK117" s="166"/>
      <c r="BL117" s="166"/>
      <c r="BM117" s="166"/>
      <c r="BN117" s="166"/>
      <c r="BO117" s="166"/>
      <c r="BP117" s="166"/>
      <c r="BQ117" s="166"/>
      <c r="BR117" s="166"/>
      <c r="BS117" s="166"/>
      <c r="BT117" s="166"/>
      <c r="BU117" s="166"/>
      <c r="BV117" s="166"/>
      <c r="BW117" s="166"/>
      <c r="BX117" s="166"/>
      <c r="BY117" s="166"/>
      <c r="BZ117" s="166"/>
      <c r="CA117" s="166"/>
      <c r="CB117" s="166"/>
      <c r="CC117" s="166"/>
      <c r="CD117" s="166"/>
      <c r="CE117" s="166"/>
      <c r="CF117" s="166"/>
      <c r="CG117" s="166"/>
      <c r="CH117" s="166"/>
      <c r="CI117" s="166"/>
      <c r="CJ117" s="166"/>
      <c r="CK117" s="166"/>
      <c r="CL117" s="166"/>
      <c r="CM117" s="166"/>
      <c r="CN117" s="166"/>
      <c r="CO117" s="166"/>
      <c r="CP117" s="166"/>
      <c r="CQ117" s="166"/>
      <c r="CR117" s="166"/>
      <c r="CS117" s="166"/>
      <c r="CT117" s="166"/>
      <c r="CU117" s="166"/>
      <c r="CV117" s="166"/>
      <c r="CW117" s="166"/>
      <c r="CX117" s="166"/>
      <c r="CY117" s="166"/>
      <c r="CZ117" s="166"/>
      <c r="DA117" s="166"/>
      <c r="DB117" s="166"/>
      <c r="DC117" s="166"/>
      <c r="DD117" s="166"/>
      <c r="DE117" s="166"/>
      <c r="DF117" s="166"/>
      <c r="DG117" s="166"/>
      <c r="DH117" s="166"/>
      <c r="DI117" s="166"/>
      <c r="DJ117" s="166"/>
      <c r="DK117" s="166"/>
      <c r="DL117" s="166"/>
      <c r="DM117" s="166"/>
      <c r="DN117" s="166"/>
      <c r="DO117" s="166"/>
      <c r="DP117" s="166"/>
      <c r="DQ117" s="166"/>
      <c r="DR117" s="166"/>
      <c r="DS117" s="166"/>
      <c r="DT117" s="166"/>
      <c r="DU117" s="166"/>
      <c r="DV117" s="166"/>
      <c r="DW117" s="166"/>
      <c r="DX117" s="166"/>
      <c r="DY117" s="166"/>
      <c r="DZ117" s="166"/>
      <c r="EA117" s="166"/>
      <c r="EB117" s="166"/>
      <c r="EC117" s="166"/>
      <c r="ED117" s="166"/>
      <c r="EE117" s="166"/>
      <c r="EF117" s="166"/>
      <c r="EG117" s="166"/>
      <c r="EH117" s="166"/>
      <c r="EI117" s="166"/>
      <c r="EJ117" s="166"/>
      <c r="EK117" s="166"/>
      <c r="EL117" s="166"/>
      <c r="EM117" s="166"/>
      <c r="EN117" s="166"/>
      <c r="EO117" s="166"/>
      <c r="EP117" s="166"/>
      <c r="EQ117" s="166"/>
      <c r="ER117" s="166"/>
      <c r="ES117" s="166"/>
      <c r="ET117" s="166"/>
      <c r="EU117" s="166"/>
      <c r="EV117" s="166"/>
      <c r="EW117" s="166"/>
      <c r="EX117" s="166"/>
      <c r="EY117" s="166"/>
      <c r="EZ117" s="166"/>
      <c r="FA117" s="166"/>
      <c r="FB117" s="166"/>
      <c r="FC117" s="166"/>
      <c r="FD117" s="166"/>
      <c r="FE117" s="166"/>
      <c r="FF117" s="166"/>
      <c r="FG117" s="166"/>
      <c r="FH117" s="166"/>
      <c r="FI117" s="166"/>
      <c r="FJ117" s="166"/>
      <c r="FK117" s="166"/>
      <c r="FL117" s="166"/>
      <c r="FM117" s="166"/>
      <c r="FN117" s="166"/>
      <c r="FO117" s="166"/>
      <c r="FP117" s="166"/>
      <c r="FQ117" s="166"/>
      <c r="FR117" s="166"/>
      <c r="FS117" s="166"/>
      <c r="FT117" s="166"/>
      <c r="FU117" s="166"/>
      <c r="FV117" s="166"/>
      <c r="FW117" s="166"/>
      <c r="FX117" s="166"/>
      <c r="FY117" s="166"/>
      <c r="FZ117" s="166"/>
      <c r="GA117" s="166"/>
      <c r="GB117" s="166"/>
      <c r="GC117" s="166"/>
      <c r="GD117" s="166"/>
      <c r="GE117" s="166"/>
      <c r="GF117" s="166"/>
      <c r="GG117" s="166"/>
      <c r="GH117" s="166"/>
      <c r="GI117" s="166"/>
      <c r="GJ117" s="166"/>
      <c r="GK117" s="166"/>
      <c r="GL117" s="166"/>
      <c r="GM117" s="166"/>
      <c r="GN117" s="166"/>
      <c r="GO117" s="166"/>
      <c r="GP117" s="166"/>
      <c r="GQ117" s="166"/>
      <c r="GR117" s="166"/>
      <c r="GS117" s="166"/>
      <c r="GT117" s="166"/>
      <c r="GU117" s="166"/>
      <c r="GV117" s="166"/>
      <c r="GW117" s="166"/>
      <c r="GX117" s="166"/>
      <c r="GY117" s="166"/>
      <c r="GZ117" s="166"/>
      <c r="HA117" s="166"/>
      <c r="HB117" s="166"/>
      <c r="HC117" s="166"/>
      <c r="HD117" s="166"/>
      <c r="HE117" s="166"/>
      <c r="HF117" s="166"/>
      <c r="HG117" s="166"/>
      <c r="HH117" s="166"/>
      <c r="HI117" s="166"/>
      <c r="HJ117" s="166"/>
      <c r="HK117" s="166"/>
      <c r="HL117" s="166"/>
      <c r="HM117" s="166"/>
      <c r="HN117" s="166"/>
      <c r="HO117" s="166"/>
      <c r="HP117" s="166"/>
      <c r="HQ117" s="166"/>
      <c r="HR117" s="166"/>
      <c r="HS117" s="166"/>
      <c r="HT117" s="166"/>
      <c r="HU117" s="166"/>
      <c r="HV117" s="166"/>
      <c r="HW117" s="166"/>
      <c r="HX117" s="166"/>
      <c r="HY117" s="166"/>
      <c r="HZ117" s="166"/>
      <c r="IA117" s="166"/>
      <c r="IB117" s="166"/>
      <c r="IC117" s="166"/>
      <c r="ID117" s="166"/>
      <c r="IE117" s="166"/>
      <c r="IF117" s="166"/>
      <c r="IG117" s="166"/>
      <c r="IH117" s="166"/>
      <c r="II117" s="166"/>
      <c r="IJ117" s="166"/>
      <c r="IK117" s="166"/>
      <c r="IL117" s="166"/>
      <c r="IM117" s="166"/>
      <c r="IN117" s="166"/>
      <c r="IO117" s="166"/>
      <c r="IP117" s="166"/>
      <c r="IQ117" s="166"/>
      <c r="IR117" s="166"/>
      <c r="IS117" s="166"/>
      <c r="IT117" s="166"/>
      <c r="IU117" s="166"/>
      <c r="IV117" s="166"/>
    </row>
    <row r="118" spans="1:256" x14ac:dyDescent="0.25">
      <c r="A118" s="325">
        <f>IF(Info!$J$3&gt;0,Info!$J$3+B118, )</f>
        <v>0</v>
      </c>
      <c r="B118" s="215">
        <v>103</v>
      </c>
      <c r="C118" s="299"/>
      <c r="D118" s="211"/>
      <c r="E118" s="294"/>
      <c r="F118" s="294"/>
      <c r="G118" s="211"/>
      <c r="H118" s="211"/>
      <c r="I118" s="211"/>
      <c r="J118" s="205"/>
      <c r="K118" s="38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  <c r="BK118" s="166"/>
      <c r="BL118" s="166"/>
      <c r="BM118" s="166"/>
      <c r="BN118" s="166"/>
      <c r="BO118" s="166"/>
      <c r="BP118" s="166"/>
      <c r="BQ118" s="166"/>
      <c r="BR118" s="166"/>
      <c r="BS118" s="166"/>
      <c r="BT118" s="166"/>
      <c r="BU118" s="166"/>
      <c r="BV118" s="166"/>
      <c r="BW118" s="166"/>
      <c r="BX118" s="166"/>
      <c r="BY118" s="166"/>
      <c r="BZ118" s="166"/>
      <c r="CA118" s="166"/>
      <c r="CB118" s="166"/>
      <c r="CC118" s="166"/>
      <c r="CD118" s="166"/>
      <c r="CE118" s="166"/>
      <c r="CF118" s="166"/>
      <c r="CG118" s="166"/>
      <c r="CH118" s="166"/>
      <c r="CI118" s="166"/>
      <c r="CJ118" s="166"/>
      <c r="CK118" s="166"/>
      <c r="CL118" s="166"/>
      <c r="CM118" s="166"/>
      <c r="CN118" s="166"/>
      <c r="CO118" s="166"/>
      <c r="CP118" s="166"/>
      <c r="CQ118" s="166"/>
      <c r="CR118" s="166"/>
      <c r="CS118" s="166"/>
      <c r="CT118" s="166"/>
      <c r="CU118" s="166"/>
      <c r="CV118" s="166"/>
      <c r="CW118" s="166"/>
      <c r="CX118" s="166"/>
      <c r="CY118" s="166"/>
      <c r="CZ118" s="166"/>
      <c r="DA118" s="166"/>
      <c r="DB118" s="166"/>
      <c r="DC118" s="166"/>
      <c r="DD118" s="166"/>
      <c r="DE118" s="166"/>
      <c r="DF118" s="166"/>
      <c r="DG118" s="166"/>
      <c r="DH118" s="166"/>
      <c r="DI118" s="166"/>
      <c r="DJ118" s="166"/>
      <c r="DK118" s="166"/>
      <c r="DL118" s="166"/>
      <c r="DM118" s="166"/>
      <c r="DN118" s="166"/>
      <c r="DO118" s="166"/>
      <c r="DP118" s="166"/>
      <c r="DQ118" s="166"/>
      <c r="DR118" s="166"/>
      <c r="DS118" s="166"/>
      <c r="DT118" s="166"/>
      <c r="DU118" s="166"/>
      <c r="DV118" s="166"/>
      <c r="DW118" s="166"/>
      <c r="DX118" s="166"/>
      <c r="DY118" s="166"/>
      <c r="DZ118" s="166"/>
      <c r="EA118" s="166"/>
      <c r="EB118" s="166"/>
      <c r="EC118" s="166"/>
      <c r="ED118" s="166"/>
      <c r="EE118" s="166"/>
      <c r="EF118" s="166"/>
      <c r="EG118" s="166"/>
      <c r="EH118" s="166"/>
      <c r="EI118" s="166"/>
      <c r="EJ118" s="166"/>
      <c r="EK118" s="166"/>
      <c r="EL118" s="166"/>
      <c r="EM118" s="166"/>
      <c r="EN118" s="166"/>
      <c r="EO118" s="166"/>
      <c r="EP118" s="166"/>
      <c r="EQ118" s="166"/>
      <c r="ER118" s="166"/>
      <c r="ES118" s="166"/>
      <c r="ET118" s="166"/>
      <c r="EU118" s="166"/>
      <c r="EV118" s="166"/>
      <c r="EW118" s="166"/>
      <c r="EX118" s="166"/>
      <c r="EY118" s="166"/>
      <c r="EZ118" s="166"/>
      <c r="FA118" s="166"/>
      <c r="FB118" s="166"/>
      <c r="FC118" s="166"/>
      <c r="FD118" s="166"/>
      <c r="FE118" s="166"/>
      <c r="FF118" s="166"/>
      <c r="FG118" s="166"/>
      <c r="FH118" s="166"/>
      <c r="FI118" s="166"/>
      <c r="FJ118" s="166"/>
      <c r="FK118" s="166"/>
      <c r="FL118" s="166"/>
      <c r="FM118" s="166"/>
      <c r="FN118" s="166"/>
      <c r="FO118" s="166"/>
      <c r="FP118" s="166"/>
      <c r="FQ118" s="166"/>
      <c r="FR118" s="166"/>
      <c r="FS118" s="166"/>
      <c r="FT118" s="166"/>
      <c r="FU118" s="166"/>
      <c r="FV118" s="166"/>
      <c r="FW118" s="166"/>
      <c r="FX118" s="166"/>
      <c r="FY118" s="166"/>
      <c r="FZ118" s="166"/>
      <c r="GA118" s="166"/>
      <c r="GB118" s="166"/>
      <c r="GC118" s="166"/>
      <c r="GD118" s="166"/>
      <c r="GE118" s="166"/>
      <c r="GF118" s="166"/>
      <c r="GG118" s="166"/>
      <c r="GH118" s="166"/>
      <c r="GI118" s="166"/>
      <c r="GJ118" s="166"/>
      <c r="GK118" s="166"/>
      <c r="GL118" s="166"/>
      <c r="GM118" s="166"/>
      <c r="GN118" s="166"/>
      <c r="GO118" s="166"/>
      <c r="GP118" s="166"/>
      <c r="GQ118" s="166"/>
      <c r="GR118" s="166"/>
      <c r="GS118" s="166"/>
      <c r="GT118" s="166"/>
      <c r="GU118" s="166"/>
      <c r="GV118" s="166"/>
      <c r="GW118" s="166"/>
      <c r="GX118" s="166"/>
      <c r="GY118" s="166"/>
      <c r="GZ118" s="166"/>
      <c r="HA118" s="166"/>
      <c r="HB118" s="166"/>
      <c r="HC118" s="166"/>
      <c r="HD118" s="166"/>
      <c r="HE118" s="166"/>
      <c r="HF118" s="166"/>
      <c r="HG118" s="166"/>
      <c r="HH118" s="166"/>
      <c r="HI118" s="166"/>
      <c r="HJ118" s="166"/>
      <c r="HK118" s="166"/>
      <c r="HL118" s="166"/>
      <c r="HM118" s="166"/>
      <c r="HN118" s="166"/>
      <c r="HO118" s="166"/>
      <c r="HP118" s="166"/>
      <c r="HQ118" s="166"/>
      <c r="HR118" s="166"/>
      <c r="HS118" s="166"/>
      <c r="HT118" s="166"/>
      <c r="HU118" s="166"/>
      <c r="HV118" s="166"/>
      <c r="HW118" s="166"/>
      <c r="HX118" s="166"/>
      <c r="HY118" s="166"/>
      <c r="HZ118" s="166"/>
      <c r="IA118" s="166"/>
      <c r="IB118" s="166"/>
      <c r="IC118" s="166"/>
      <c r="ID118" s="166"/>
      <c r="IE118" s="166"/>
      <c r="IF118" s="166"/>
      <c r="IG118" s="166"/>
      <c r="IH118" s="166"/>
      <c r="II118" s="166"/>
      <c r="IJ118" s="166"/>
      <c r="IK118" s="166"/>
      <c r="IL118" s="166"/>
      <c r="IM118" s="166"/>
      <c r="IN118" s="166"/>
      <c r="IO118" s="166"/>
      <c r="IP118" s="166"/>
      <c r="IQ118" s="166"/>
      <c r="IR118" s="166"/>
      <c r="IS118" s="166"/>
      <c r="IT118" s="166"/>
      <c r="IU118" s="166"/>
      <c r="IV118" s="166"/>
    </row>
    <row r="119" spans="1:256" x14ac:dyDescent="0.25">
      <c r="A119" s="325">
        <f>IF(Info!$J$3&gt;0,Info!$J$3+B119, )</f>
        <v>0</v>
      </c>
      <c r="B119" s="215">
        <v>104</v>
      </c>
      <c r="C119" s="299"/>
      <c r="D119" s="211"/>
      <c r="E119" s="294"/>
      <c r="F119" s="294"/>
      <c r="G119" s="211"/>
      <c r="H119" s="211"/>
      <c r="I119" s="211"/>
      <c r="J119" s="205"/>
      <c r="K119" s="38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  <c r="BK119" s="166"/>
      <c r="BL119" s="166"/>
      <c r="BM119" s="166"/>
      <c r="BN119" s="166"/>
      <c r="BO119" s="166"/>
      <c r="BP119" s="166"/>
      <c r="BQ119" s="166"/>
      <c r="BR119" s="166"/>
      <c r="BS119" s="166"/>
      <c r="BT119" s="166"/>
      <c r="BU119" s="166"/>
      <c r="BV119" s="166"/>
      <c r="BW119" s="166"/>
      <c r="BX119" s="166"/>
      <c r="BY119" s="166"/>
      <c r="BZ119" s="166"/>
      <c r="CA119" s="166"/>
      <c r="CB119" s="166"/>
      <c r="CC119" s="166"/>
      <c r="CD119" s="166"/>
      <c r="CE119" s="166"/>
      <c r="CF119" s="166"/>
      <c r="CG119" s="166"/>
      <c r="CH119" s="166"/>
      <c r="CI119" s="166"/>
      <c r="CJ119" s="166"/>
      <c r="CK119" s="166"/>
      <c r="CL119" s="166"/>
      <c r="CM119" s="166"/>
      <c r="CN119" s="166"/>
      <c r="CO119" s="166"/>
      <c r="CP119" s="166"/>
      <c r="CQ119" s="166"/>
      <c r="CR119" s="166"/>
      <c r="CS119" s="166"/>
      <c r="CT119" s="166"/>
      <c r="CU119" s="166"/>
      <c r="CV119" s="166"/>
      <c r="CW119" s="166"/>
      <c r="CX119" s="166"/>
      <c r="CY119" s="166"/>
      <c r="CZ119" s="166"/>
      <c r="DA119" s="166"/>
      <c r="DB119" s="166"/>
      <c r="DC119" s="166"/>
      <c r="DD119" s="166"/>
      <c r="DE119" s="166"/>
      <c r="DF119" s="166"/>
      <c r="DG119" s="166"/>
      <c r="DH119" s="166"/>
      <c r="DI119" s="166"/>
      <c r="DJ119" s="166"/>
      <c r="DK119" s="166"/>
      <c r="DL119" s="166"/>
      <c r="DM119" s="166"/>
      <c r="DN119" s="166"/>
      <c r="DO119" s="166"/>
      <c r="DP119" s="166"/>
      <c r="DQ119" s="166"/>
      <c r="DR119" s="166"/>
      <c r="DS119" s="166"/>
      <c r="DT119" s="166"/>
      <c r="DU119" s="166"/>
      <c r="DV119" s="166"/>
      <c r="DW119" s="166"/>
      <c r="DX119" s="166"/>
      <c r="DY119" s="166"/>
      <c r="DZ119" s="166"/>
      <c r="EA119" s="166"/>
      <c r="EB119" s="166"/>
      <c r="EC119" s="166"/>
      <c r="ED119" s="166"/>
      <c r="EE119" s="166"/>
      <c r="EF119" s="166"/>
      <c r="EG119" s="166"/>
      <c r="EH119" s="166"/>
      <c r="EI119" s="166"/>
      <c r="EJ119" s="166"/>
      <c r="EK119" s="166"/>
      <c r="EL119" s="166"/>
      <c r="EM119" s="166"/>
      <c r="EN119" s="166"/>
      <c r="EO119" s="166"/>
      <c r="EP119" s="166"/>
      <c r="EQ119" s="166"/>
      <c r="ER119" s="166"/>
      <c r="ES119" s="166"/>
      <c r="ET119" s="166"/>
      <c r="EU119" s="166"/>
      <c r="EV119" s="166"/>
      <c r="EW119" s="166"/>
      <c r="EX119" s="166"/>
      <c r="EY119" s="166"/>
      <c r="EZ119" s="166"/>
      <c r="FA119" s="166"/>
      <c r="FB119" s="166"/>
      <c r="FC119" s="166"/>
      <c r="FD119" s="166"/>
      <c r="FE119" s="166"/>
      <c r="FF119" s="166"/>
      <c r="FG119" s="166"/>
      <c r="FH119" s="166"/>
      <c r="FI119" s="166"/>
      <c r="FJ119" s="166"/>
      <c r="FK119" s="166"/>
      <c r="FL119" s="166"/>
      <c r="FM119" s="166"/>
      <c r="FN119" s="166"/>
      <c r="FO119" s="166"/>
      <c r="FP119" s="166"/>
      <c r="FQ119" s="166"/>
      <c r="FR119" s="166"/>
      <c r="FS119" s="166"/>
      <c r="FT119" s="166"/>
      <c r="FU119" s="166"/>
      <c r="FV119" s="166"/>
      <c r="FW119" s="166"/>
      <c r="FX119" s="166"/>
      <c r="FY119" s="166"/>
      <c r="FZ119" s="166"/>
      <c r="GA119" s="166"/>
      <c r="GB119" s="166"/>
      <c r="GC119" s="166"/>
      <c r="GD119" s="166"/>
      <c r="GE119" s="166"/>
      <c r="GF119" s="166"/>
      <c r="GG119" s="166"/>
      <c r="GH119" s="166"/>
      <c r="GI119" s="166"/>
      <c r="GJ119" s="166"/>
      <c r="GK119" s="166"/>
      <c r="GL119" s="166"/>
      <c r="GM119" s="166"/>
      <c r="GN119" s="166"/>
      <c r="GO119" s="166"/>
      <c r="GP119" s="166"/>
      <c r="GQ119" s="166"/>
      <c r="GR119" s="166"/>
      <c r="GS119" s="166"/>
      <c r="GT119" s="166"/>
      <c r="GU119" s="166"/>
      <c r="GV119" s="166"/>
      <c r="GW119" s="166"/>
      <c r="GX119" s="166"/>
      <c r="GY119" s="166"/>
      <c r="GZ119" s="166"/>
      <c r="HA119" s="166"/>
      <c r="HB119" s="166"/>
      <c r="HC119" s="166"/>
      <c r="HD119" s="166"/>
      <c r="HE119" s="166"/>
      <c r="HF119" s="166"/>
      <c r="HG119" s="166"/>
      <c r="HH119" s="166"/>
      <c r="HI119" s="166"/>
      <c r="HJ119" s="166"/>
      <c r="HK119" s="166"/>
      <c r="HL119" s="166"/>
      <c r="HM119" s="166"/>
      <c r="HN119" s="166"/>
      <c r="HO119" s="166"/>
      <c r="HP119" s="166"/>
      <c r="HQ119" s="166"/>
      <c r="HR119" s="166"/>
      <c r="HS119" s="166"/>
      <c r="HT119" s="166"/>
      <c r="HU119" s="166"/>
      <c r="HV119" s="166"/>
      <c r="HW119" s="166"/>
      <c r="HX119" s="166"/>
      <c r="HY119" s="166"/>
      <c r="HZ119" s="166"/>
      <c r="IA119" s="166"/>
      <c r="IB119" s="166"/>
      <c r="IC119" s="166"/>
      <c r="ID119" s="166"/>
      <c r="IE119" s="166"/>
      <c r="IF119" s="166"/>
      <c r="IG119" s="166"/>
      <c r="IH119" s="166"/>
      <c r="II119" s="166"/>
      <c r="IJ119" s="166"/>
      <c r="IK119" s="166"/>
      <c r="IL119" s="166"/>
      <c r="IM119" s="166"/>
      <c r="IN119" s="166"/>
      <c r="IO119" s="166"/>
      <c r="IP119" s="166"/>
      <c r="IQ119" s="166"/>
      <c r="IR119" s="166"/>
      <c r="IS119" s="166"/>
      <c r="IT119" s="166"/>
      <c r="IU119" s="166"/>
      <c r="IV119" s="166"/>
    </row>
    <row r="120" spans="1:256" x14ac:dyDescent="0.25">
      <c r="A120" s="325">
        <f>IF(Info!$J$3&gt;0,Info!$J$3+B120, )</f>
        <v>0</v>
      </c>
      <c r="B120" s="215">
        <v>105</v>
      </c>
      <c r="C120" s="300"/>
      <c r="D120" s="211"/>
      <c r="E120" s="294"/>
      <c r="F120" s="294"/>
      <c r="G120" s="211"/>
      <c r="H120" s="211"/>
      <c r="I120" s="211"/>
      <c r="J120" s="206"/>
      <c r="K120" s="38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  <c r="BK120" s="166"/>
      <c r="BL120" s="166"/>
      <c r="BM120" s="166"/>
      <c r="BN120" s="166"/>
      <c r="BO120" s="166"/>
      <c r="BP120" s="166"/>
      <c r="BQ120" s="166"/>
      <c r="BR120" s="166"/>
      <c r="BS120" s="166"/>
      <c r="BT120" s="166"/>
      <c r="BU120" s="166"/>
      <c r="BV120" s="166"/>
      <c r="BW120" s="166"/>
      <c r="BX120" s="166"/>
      <c r="BY120" s="166"/>
      <c r="BZ120" s="166"/>
      <c r="CA120" s="166"/>
      <c r="CB120" s="166"/>
      <c r="CC120" s="166"/>
      <c r="CD120" s="166"/>
      <c r="CE120" s="166"/>
      <c r="CF120" s="166"/>
      <c r="CG120" s="166"/>
      <c r="CH120" s="166"/>
      <c r="CI120" s="166"/>
      <c r="CJ120" s="166"/>
      <c r="CK120" s="166"/>
      <c r="CL120" s="166"/>
      <c r="CM120" s="166"/>
      <c r="CN120" s="166"/>
      <c r="CO120" s="166"/>
      <c r="CP120" s="166"/>
      <c r="CQ120" s="166"/>
      <c r="CR120" s="166"/>
      <c r="CS120" s="166"/>
      <c r="CT120" s="166"/>
      <c r="CU120" s="166"/>
      <c r="CV120" s="166"/>
      <c r="CW120" s="166"/>
      <c r="CX120" s="166"/>
      <c r="CY120" s="166"/>
      <c r="CZ120" s="166"/>
      <c r="DA120" s="166"/>
      <c r="DB120" s="166"/>
      <c r="DC120" s="166"/>
      <c r="DD120" s="166"/>
      <c r="DE120" s="166"/>
      <c r="DF120" s="166"/>
      <c r="DG120" s="166"/>
      <c r="DH120" s="166"/>
      <c r="DI120" s="166"/>
      <c r="DJ120" s="166"/>
      <c r="DK120" s="166"/>
      <c r="DL120" s="166"/>
      <c r="DM120" s="166"/>
      <c r="DN120" s="166"/>
      <c r="DO120" s="166"/>
      <c r="DP120" s="166"/>
      <c r="DQ120" s="166"/>
      <c r="DR120" s="166"/>
      <c r="DS120" s="166"/>
      <c r="DT120" s="166"/>
      <c r="DU120" s="166"/>
      <c r="DV120" s="166"/>
      <c r="DW120" s="166"/>
      <c r="DX120" s="166"/>
      <c r="DY120" s="166"/>
      <c r="DZ120" s="166"/>
      <c r="EA120" s="166"/>
      <c r="EB120" s="166"/>
      <c r="EC120" s="166"/>
      <c r="ED120" s="166"/>
      <c r="EE120" s="166"/>
      <c r="EF120" s="166"/>
      <c r="EG120" s="166"/>
      <c r="EH120" s="166"/>
      <c r="EI120" s="166"/>
      <c r="EJ120" s="166"/>
      <c r="EK120" s="166"/>
      <c r="EL120" s="166"/>
      <c r="EM120" s="166"/>
      <c r="EN120" s="166"/>
      <c r="EO120" s="166"/>
      <c r="EP120" s="166"/>
      <c r="EQ120" s="166"/>
      <c r="ER120" s="166"/>
      <c r="ES120" s="166"/>
      <c r="ET120" s="166"/>
      <c r="EU120" s="166"/>
      <c r="EV120" s="166"/>
      <c r="EW120" s="166"/>
      <c r="EX120" s="166"/>
      <c r="EY120" s="166"/>
      <c r="EZ120" s="166"/>
      <c r="FA120" s="166"/>
      <c r="FB120" s="166"/>
      <c r="FC120" s="166"/>
      <c r="FD120" s="166"/>
      <c r="FE120" s="166"/>
      <c r="FF120" s="166"/>
      <c r="FG120" s="166"/>
      <c r="FH120" s="166"/>
      <c r="FI120" s="166"/>
      <c r="FJ120" s="166"/>
      <c r="FK120" s="166"/>
      <c r="FL120" s="166"/>
      <c r="FM120" s="166"/>
      <c r="FN120" s="166"/>
      <c r="FO120" s="166"/>
      <c r="FP120" s="166"/>
      <c r="FQ120" s="166"/>
      <c r="FR120" s="166"/>
      <c r="FS120" s="166"/>
      <c r="FT120" s="166"/>
      <c r="FU120" s="166"/>
      <c r="FV120" s="166"/>
      <c r="FW120" s="166"/>
      <c r="FX120" s="166"/>
      <c r="FY120" s="166"/>
      <c r="FZ120" s="166"/>
      <c r="GA120" s="166"/>
      <c r="GB120" s="166"/>
      <c r="GC120" s="166"/>
      <c r="GD120" s="166"/>
      <c r="GE120" s="166"/>
      <c r="GF120" s="166"/>
      <c r="GG120" s="166"/>
      <c r="GH120" s="166"/>
      <c r="GI120" s="166"/>
      <c r="GJ120" s="166"/>
      <c r="GK120" s="166"/>
      <c r="GL120" s="166"/>
      <c r="GM120" s="166"/>
      <c r="GN120" s="166"/>
      <c r="GO120" s="166"/>
      <c r="GP120" s="166"/>
      <c r="GQ120" s="166"/>
      <c r="GR120" s="166"/>
      <c r="GS120" s="166"/>
      <c r="GT120" s="166"/>
      <c r="GU120" s="166"/>
      <c r="GV120" s="166"/>
      <c r="GW120" s="166"/>
      <c r="GX120" s="166"/>
      <c r="GY120" s="166"/>
      <c r="GZ120" s="166"/>
      <c r="HA120" s="166"/>
      <c r="HB120" s="166"/>
      <c r="HC120" s="166"/>
      <c r="HD120" s="166"/>
      <c r="HE120" s="166"/>
      <c r="HF120" s="166"/>
      <c r="HG120" s="166"/>
      <c r="HH120" s="166"/>
      <c r="HI120" s="166"/>
      <c r="HJ120" s="166"/>
      <c r="HK120" s="166"/>
      <c r="HL120" s="166"/>
      <c r="HM120" s="166"/>
      <c r="HN120" s="166"/>
      <c r="HO120" s="166"/>
      <c r="HP120" s="166"/>
      <c r="HQ120" s="166"/>
      <c r="HR120" s="166"/>
      <c r="HS120" s="166"/>
      <c r="HT120" s="166"/>
      <c r="HU120" s="166"/>
      <c r="HV120" s="166"/>
      <c r="HW120" s="166"/>
      <c r="HX120" s="166"/>
      <c r="HY120" s="166"/>
      <c r="HZ120" s="166"/>
      <c r="IA120" s="166"/>
      <c r="IB120" s="166"/>
      <c r="IC120" s="166"/>
      <c r="ID120" s="166"/>
      <c r="IE120" s="166"/>
      <c r="IF120" s="166"/>
      <c r="IG120" s="166"/>
      <c r="IH120" s="166"/>
      <c r="II120" s="166"/>
      <c r="IJ120" s="166"/>
      <c r="IK120" s="166"/>
      <c r="IL120" s="166"/>
      <c r="IM120" s="166"/>
      <c r="IN120" s="166"/>
      <c r="IO120" s="166"/>
      <c r="IP120" s="166"/>
      <c r="IQ120" s="166"/>
      <c r="IR120" s="166"/>
      <c r="IS120" s="166"/>
      <c r="IT120" s="166"/>
      <c r="IU120" s="166"/>
      <c r="IV120" s="166"/>
    </row>
    <row r="121" spans="1:256" x14ac:dyDescent="0.25">
      <c r="A121" s="326">
        <f>A120</f>
        <v>0</v>
      </c>
      <c r="B121" s="207" t="str">
        <f>Traducción!$B$24&amp;" 15"</f>
        <v>Sem. 15</v>
      </c>
      <c r="C121" s="301">
        <f>SUM(C114:C120)</f>
        <v>0</v>
      </c>
      <c r="D121" s="288">
        <f t="shared" ref="D121" si="36">IFERROR(AVERAGE(D114:D120), )</f>
        <v>0</v>
      </c>
      <c r="E121" s="296">
        <f t="shared" ref="E121:F121" si="37">SUM(E114:E120)</f>
        <v>0</v>
      </c>
      <c r="F121" s="296">
        <f t="shared" si="37"/>
        <v>0</v>
      </c>
      <c r="G121" s="288">
        <f t="shared" ref="G121:I121" si="38">IFERROR(AVERAGE(G114:G120), )</f>
        <v>0</v>
      </c>
      <c r="H121" s="210">
        <f t="shared" si="38"/>
        <v>0</v>
      </c>
      <c r="I121" s="210">
        <f t="shared" si="38"/>
        <v>0</v>
      </c>
      <c r="J121" s="202"/>
      <c r="K121" s="38"/>
      <c r="L121" s="166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  <c r="BK121" s="166"/>
      <c r="BL121" s="166"/>
      <c r="BM121" s="166"/>
      <c r="BN121" s="166"/>
      <c r="BO121" s="166"/>
      <c r="BP121" s="166"/>
      <c r="BQ121" s="166"/>
      <c r="BR121" s="166"/>
      <c r="BS121" s="166"/>
      <c r="BT121" s="166"/>
      <c r="BU121" s="166"/>
      <c r="BV121" s="166"/>
      <c r="BW121" s="166"/>
      <c r="BX121" s="166"/>
      <c r="BY121" s="166"/>
      <c r="BZ121" s="166"/>
      <c r="CA121" s="166"/>
      <c r="CB121" s="166"/>
      <c r="CC121" s="166"/>
      <c r="CD121" s="166"/>
      <c r="CE121" s="166"/>
      <c r="CF121" s="166"/>
      <c r="CG121" s="166"/>
      <c r="CH121" s="166"/>
      <c r="CI121" s="166"/>
      <c r="CJ121" s="166"/>
      <c r="CK121" s="166"/>
      <c r="CL121" s="166"/>
      <c r="CM121" s="166"/>
      <c r="CN121" s="166"/>
      <c r="CO121" s="166"/>
      <c r="CP121" s="166"/>
      <c r="CQ121" s="166"/>
      <c r="CR121" s="166"/>
      <c r="CS121" s="166"/>
      <c r="CT121" s="166"/>
      <c r="CU121" s="166"/>
      <c r="CV121" s="166"/>
      <c r="CW121" s="166"/>
      <c r="CX121" s="166"/>
      <c r="CY121" s="166"/>
      <c r="CZ121" s="166"/>
      <c r="DA121" s="166"/>
      <c r="DB121" s="166"/>
      <c r="DC121" s="166"/>
      <c r="DD121" s="166"/>
      <c r="DE121" s="166"/>
      <c r="DF121" s="166"/>
      <c r="DG121" s="166"/>
      <c r="DH121" s="166"/>
      <c r="DI121" s="166"/>
      <c r="DJ121" s="166"/>
      <c r="DK121" s="166"/>
      <c r="DL121" s="166"/>
      <c r="DM121" s="166"/>
      <c r="DN121" s="166"/>
      <c r="DO121" s="166"/>
      <c r="DP121" s="166"/>
      <c r="DQ121" s="166"/>
      <c r="DR121" s="166"/>
      <c r="DS121" s="166"/>
      <c r="DT121" s="166"/>
      <c r="DU121" s="166"/>
      <c r="DV121" s="166"/>
      <c r="DW121" s="166"/>
      <c r="DX121" s="166"/>
      <c r="DY121" s="166"/>
      <c r="DZ121" s="166"/>
      <c r="EA121" s="166"/>
      <c r="EB121" s="166"/>
      <c r="EC121" s="166"/>
      <c r="ED121" s="166"/>
      <c r="EE121" s="166"/>
      <c r="EF121" s="166"/>
      <c r="EG121" s="166"/>
      <c r="EH121" s="166"/>
      <c r="EI121" s="166"/>
      <c r="EJ121" s="166"/>
      <c r="EK121" s="166"/>
      <c r="EL121" s="166"/>
      <c r="EM121" s="166"/>
      <c r="EN121" s="166"/>
      <c r="EO121" s="166"/>
      <c r="EP121" s="166"/>
      <c r="EQ121" s="166"/>
      <c r="ER121" s="166"/>
      <c r="ES121" s="166"/>
      <c r="ET121" s="166"/>
      <c r="EU121" s="166"/>
      <c r="EV121" s="166"/>
      <c r="EW121" s="166"/>
      <c r="EX121" s="166"/>
      <c r="EY121" s="166"/>
      <c r="EZ121" s="166"/>
      <c r="FA121" s="166"/>
      <c r="FB121" s="166"/>
      <c r="FC121" s="166"/>
      <c r="FD121" s="166"/>
      <c r="FE121" s="166"/>
      <c r="FF121" s="166"/>
      <c r="FG121" s="166"/>
      <c r="FH121" s="166"/>
      <c r="FI121" s="166"/>
      <c r="FJ121" s="166"/>
      <c r="FK121" s="166"/>
      <c r="FL121" s="166"/>
      <c r="FM121" s="166"/>
      <c r="FN121" s="166"/>
      <c r="FO121" s="166"/>
      <c r="FP121" s="166"/>
      <c r="FQ121" s="166"/>
      <c r="FR121" s="166"/>
      <c r="FS121" s="166"/>
      <c r="FT121" s="166"/>
      <c r="FU121" s="166"/>
      <c r="FV121" s="166"/>
      <c r="FW121" s="166"/>
      <c r="FX121" s="166"/>
      <c r="FY121" s="166"/>
      <c r="FZ121" s="166"/>
      <c r="GA121" s="166"/>
      <c r="GB121" s="166"/>
      <c r="GC121" s="166"/>
      <c r="GD121" s="166"/>
      <c r="GE121" s="166"/>
      <c r="GF121" s="166"/>
      <c r="GG121" s="166"/>
      <c r="GH121" s="166"/>
      <c r="GI121" s="166"/>
      <c r="GJ121" s="166"/>
      <c r="GK121" s="166"/>
      <c r="GL121" s="166"/>
      <c r="GM121" s="166"/>
      <c r="GN121" s="166"/>
      <c r="GO121" s="166"/>
      <c r="GP121" s="166"/>
      <c r="GQ121" s="166"/>
      <c r="GR121" s="166"/>
      <c r="GS121" s="166"/>
      <c r="GT121" s="166"/>
      <c r="GU121" s="166"/>
      <c r="GV121" s="166"/>
      <c r="GW121" s="166"/>
      <c r="GX121" s="166"/>
      <c r="GY121" s="166"/>
      <c r="GZ121" s="166"/>
      <c r="HA121" s="166"/>
      <c r="HB121" s="166"/>
      <c r="HC121" s="166"/>
      <c r="HD121" s="166"/>
      <c r="HE121" s="166"/>
      <c r="HF121" s="166"/>
      <c r="HG121" s="166"/>
      <c r="HH121" s="166"/>
      <c r="HI121" s="166"/>
      <c r="HJ121" s="166"/>
      <c r="HK121" s="166"/>
      <c r="HL121" s="166"/>
      <c r="HM121" s="166"/>
      <c r="HN121" s="166"/>
      <c r="HO121" s="166"/>
      <c r="HP121" s="166"/>
      <c r="HQ121" s="166"/>
      <c r="HR121" s="166"/>
      <c r="HS121" s="166"/>
      <c r="HT121" s="166"/>
      <c r="HU121" s="166"/>
      <c r="HV121" s="166"/>
      <c r="HW121" s="166"/>
      <c r="HX121" s="166"/>
      <c r="HY121" s="166"/>
      <c r="HZ121" s="166"/>
      <c r="IA121" s="166"/>
      <c r="IB121" s="166"/>
      <c r="IC121" s="166"/>
      <c r="ID121" s="166"/>
      <c r="IE121" s="166"/>
      <c r="IF121" s="166"/>
      <c r="IG121" s="166"/>
      <c r="IH121" s="166"/>
      <c r="II121" s="166"/>
      <c r="IJ121" s="166"/>
      <c r="IK121" s="166"/>
      <c r="IL121" s="166"/>
      <c r="IM121" s="166"/>
      <c r="IN121" s="166"/>
      <c r="IO121" s="166"/>
      <c r="IP121" s="166"/>
      <c r="IQ121" s="166"/>
      <c r="IR121" s="166"/>
      <c r="IS121" s="166"/>
      <c r="IT121" s="166"/>
      <c r="IU121" s="166"/>
      <c r="IV121" s="166"/>
    </row>
    <row r="122" spans="1:256" x14ac:dyDescent="0.25">
      <c r="A122" s="325">
        <f>IF(Info!$J$3&gt;0,Info!$J$3+B122, )</f>
        <v>0</v>
      </c>
      <c r="B122" s="215">
        <v>106</v>
      </c>
      <c r="C122" s="299"/>
      <c r="D122" s="211"/>
      <c r="E122" s="294"/>
      <c r="F122" s="294"/>
      <c r="G122" s="211"/>
      <c r="H122" s="211"/>
      <c r="I122" s="211"/>
      <c r="J122" s="204"/>
      <c r="K122" s="38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  <c r="BK122" s="166"/>
      <c r="BL122" s="166"/>
      <c r="BM122" s="166"/>
      <c r="BN122" s="166"/>
      <c r="BO122" s="166"/>
      <c r="BP122" s="166"/>
      <c r="BQ122" s="166"/>
      <c r="BR122" s="166"/>
      <c r="BS122" s="166"/>
      <c r="BT122" s="166"/>
      <c r="BU122" s="166"/>
      <c r="BV122" s="166"/>
      <c r="BW122" s="166"/>
      <c r="BX122" s="166"/>
      <c r="BY122" s="166"/>
      <c r="BZ122" s="166"/>
      <c r="CA122" s="166"/>
      <c r="CB122" s="166"/>
      <c r="CC122" s="166"/>
      <c r="CD122" s="166"/>
      <c r="CE122" s="166"/>
      <c r="CF122" s="166"/>
      <c r="CG122" s="166"/>
      <c r="CH122" s="166"/>
      <c r="CI122" s="166"/>
      <c r="CJ122" s="166"/>
      <c r="CK122" s="166"/>
      <c r="CL122" s="166"/>
      <c r="CM122" s="166"/>
      <c r="CN122" s="166"/>
      <c r="CO122" s="166"/>
      <c r="CP122" s="166"/>
      <c r="CQ122" s="166"/>
      <c r="CR122" s="166"/>
      <c r="CS122" s="166"/>
      <c r="CT122" s="166"/>
      <c r="CU122" s="166"/>
      <c r="CV122" s="166"/>
      <c r="CW122" s="166"/>
      <c r="CX122" s="166"/>
      <c r="CY122" s="166"/>
      <c r="CZ122" s="166"/>
      <c r="DA122" s="166"/>
      <c r="DB122" s="166"/>
      <c r="DC122" s="166"/>
      <c r="DD122" s="166"/>
      <c r="DE122" s="166"/>
      <c r="DF122" s="166"/>
      <c r="DG122" s="166"/>
      <c r="DH122" s="166"/>
      <c r="DI122" s="166"/>
      <c r="DJ122" s="166"/>
      <c r="DK122" s="166"/>
      <c r="DL122" s="166"/>
      <c r="DM122" s="166"/>
      <c r="DN122" s="166"/>
      <c r="DO122" s="166"/>
      <c r="DP122" s="166"/>
      <c r="DQ122" s="166"/>
      <c r="DR122" s="166"/>
      <c r="DS122" s="166"/>
      <c r="DT122" s="166"/>
      <c r="DU122" s="166"/>
      <c r="DV122" s="166"/>
      <c r="DW122" s="166"/>
      <c r="DX122" s="166"/>
      <c r="DY122" s="166"/>
      <c r="DZ122" s="166"/>
      <c r="EA122" s="166"/>
      <c r="EB122" s="166"/>
      <c r="EC122" s="166"/>
      <c r="ED122" s="166"/>
      <c r="EE122" s="166"/>
      <c r="EF122" s="166"/>
      <c r="EG122" s="166"/>
      <c r="EH122" s="166"/>
      <c r="EI122" s="166"/>
      <c r="EJ122" s="166"/>
      <c r="EK122" s="166"/>
      <c r="EL122" s="166"/>
      <c r="EM122" s="166"/>
      <c r="EN122" s="166"/>
      <c r="EO122" s="166"/>
      <c r="EP122" s="166"/>
      <c r="EQ122" s="166"/>
      <c r="ER122" s="166"/>
      <c r="ES122" s="166"/>
      <c r="ET122" s="166"/>
      <c r="EU122" s="166"/>
      <c r="EV122" s="166"/>
      <c r="EW122" s="166"/>
      <c r="EX122" s="166"/>
      <c r="EY122" s="166"/>
      <c r="EZ122" s="166"/>
      <c r="FA122" s="166"/>
      <c r="FB122" s="166"/>
      <c r="FC122" s="166"/>
      <c r="FD122" s="166"/>
      <c r="FE122" s="166"/>
      <c r="FF122" s="166"/>
      <c r="FG122" s="166"/>
      <c r="FH122" s="166"/>
      <c r="FI122" s="166"/>
      <c r="FJ122" s="166"/>
      <c r="FK122" s="166"/>
      <c r="FL122" s="166"/>
      <c r="FM122" s="166"/>
      <c r="FN122" s="166"/>
      <c r="FO122" s="166"/>
      <c r="FP122" s="166"/>
      <c r="FQ122" s="166"/>
      <c r="FR122" s="166"/>
      <c r="FS122" s="166"/>
      <c r="FT122" s="166"/>
      <c r="FU122" s="166"/>
      <c r="FV122" s="166"/>
      <c r="FW122" s="166"/>
      <c r="FX122" s="166"/>
      <c r="FY122" s="166"/>
      <c r="FZ122" s="166"/>
      <c r="GA122" s="166"/>
      <c r="GB122" s="166"/>
      <c r="GC122" s="166"/>
      <c r="GD122" s="166"/>
      <c r="GE122" s="166"/>
      <c r="GF122" s="166"/>
      <c r="GG122" s="166"/>
      <c r="GH122" s="166"/>
      <c r="GI122" s="166"/>
      <c r="GJ122" s="166"/>
      <c r="GK122" s="166"/>
      <c r="GL122" s="166"/>
      <c r="GM122" s="166"/>
      <c r="GN122" s="166"/>
      <c r="GO122" s="166"/>
      <c r="GP122" s="166"/>
      <c r="GQ122" s="166"/>
      <c r="GR122" s="166"/>
      <c r="GS122" s="166"/>
      <c r="GT122" s="166"/>
      <c r="GU122" s="166"/>
      <c r="GV122" s="166"/>
      <c r="GW122" s="166"/>
      <c r="GX122" s="166"/>
      <c r="GY122" s="166"/>
      <c r="GZ122" s="166"/>
      <c r="HA122" s="166"/>
      <c r="HB122" s="166"/>
      <c r="HC122" s="166"/>
      <c r="HD122" s="166"/>
      <c r="HE122" s="166"/>
      <c r="HF122" s="166"/>
      <c r="HG122" s="166"/>
      <c r="HH122" s="166"/>
      <c r="HI122" s="166"/>
      <c r="HJ122" s="166"/>
      <c r="HK122" s="166"/>
      <c r="HL122" s="166"/>
      <c r="HM122" s="166"/>
      <c r="HN122" s="166"/>
      <c r="HO122" s="166"/>
      <c r="HP122" s="166"/>
      <c r="HQ122" s="166"/>
      <c r="HR122" s="166"/>
      <c r="HS122" s="166"/>
      <c r="HT122" s="166"/>
      <c r="HU122" s="166"/>
      <c r="HV122" s="166"/>
      <c r="HW122" s="166"/>
      <c r="HX122" s="166"/>
      <c r="HY122" s="166"/>
      <c r="HZ122" s="166"/>
      <c r="IA122" s="166"/>
      <c r="IB122" s="166"/>
      <c r="IC122" s="166"/>
      <c r="ID122" s="166"/>
      <c r="IE122" s="166"/>
      <c r="IF122" s="166"/>
      <c r="IG122" s="166"/>
      <c r="IH122" s="166"/>
      <c r="II122" s="166"/>
      <c r="IJ122" s="166"/>
      <c r="IK122" s="166"/>
      <c r="IL122" s="166"/>
      <c r="IM122" s="166"/>
      <c r="IN122" s="166"/>
      <c r="IO122" s="166"/>
      <c r="IP122" s="166"/>
      <c r="IQ122" s="166"/>
      <c r="IR122" s="166"/>
      <c r="IS122" s="166"/>
      <c r="IT122" s="166"/>
      <c r="IU122" s="166"/>
      <c r="IV122" s="166"/>
    </row>
    <row r="123" spans="1:256" x14ac:dyDescent="0.25">
      <c r="A123" s="325">
        <f>IF(Info!$J$3&gt;0,Info!$J$3+B123, )</f>
        <v>0</v>
      </c>
      <c r="B123" s="215">
        <v>107</v>
      </c>
      <c r="C123" s="299"/>
      <c r="D123" s="211"/>
      <c r="E123" s="294"/>
      <c r="F123" s="294"/>
      <c r="G123" s="211"/>
      <c r="H123" s="211"/>
      <c r="I123" s="211"/>
      <c r="J123" s="205"/>
      <c r="K123" s="38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  <c r="BK123" s="166"/>
      <c r="BL123" s="166"/>
      <c r="BM123" s="166"/>
      <c r="BN123" s="166"/>
      <c r="BO123" s="166"/>
      <c r="BP123" s="166"/>
      <c r="BQ123" s="166"/>
      <c r="BR123" s="166"/>
      <c r="BS123" s="166"/>
      <c r="BT123" s="166"/>
      <c r="BU123" s="166"/>
      <c r="BV123" s="166"/>
      <c r="BW123" s="166"/>
      <c r="BX123" s="166"/>
      <c r="BY123" s="166"/>
      <c r="BZ123" s="166"/>
      <c r="CA123" s="166"/>
      <c r="CB123" s="166"/>
      <c r="CC123" s="166"/>
      <c r="CD123" s="166"/>
      <c r="CE123" s="166"/>
      <c r="CF123" s="166"/>
      <c r="CG123" s="166"/>
      <c r="CH123" s="166"/>
      <c r="CI123" s="166"/>
      <c r="CJ123" s="166"/>
      <c r="CK123" s="166"/>
      <c r="CL123" s="166"/>
      <c r="CM123" s="166"/>
      <c r="CN123" s="166"/>
      <c r="CO123" s="166"/>
      <c r="CP123" s="166"/>
      <c r="CQ123" s="166"/>
      <c r="CR123" s="166"/>
      <c r="CS123" s="166"/>
      <c r="CT123" s="166"/>
      <c r="CU123" s="166"/>
      <c r="CV123" s="166"/>
      <c r="CW123" s="166"/>
      <c r="CX123" s="166"/>
      <c r="CY123" s="166"/>
      <c r="CZ123" s="166"/>
      <c r="DA123" s="166"/>
      <c r="DB123" s="166"/>
      <c r="DC123" s="166"/>
      <c r="DD123" s="166"/>
      <c r="DE123" s="166"/>
      <c r="DF123" s="166"/>
      <c r="DG123" s="166"/>
      <c r="DH123" s="166"/>
      <c r="DI123" s="166"/>
      <c r="DJ123" s="166"/>
      <c r="DK123" s="166"/>
      <c r="DL123" s="166"/>
      <c r="DM123" s="166"/>
      <c r="DN123" s="166"/>
      <c r="DO123" s="166"/>
      <c r="DP123" s="166"/>
      <c r="DQ123" s="166"/>
      <c r="DR123" s="166"/>
      <c r="DS123" s="166"/>
      <c r="DT123" s="166"/>
      <c r="DU123" s="166"/>
      <c r="DV123" s="166"/>
      <c r="DW123" s="166"/>
      <c r="DX123" s="166"/>
      <c r="DY123" s="166"/>
      <c r="DZ123" s="166"/>
      <c r="EA123" s="166"/>
      <c r="EB123" s="166"/>
      <c r="EC123" s="166"/>
      <c r="ED123" s="166"/>
      <c r="EE123" s="166"/>
      <c r="EF123" s="166"/>
      <c r="EG123" s="166"/>
      <c r="EH123" s="166"/>
      <c r="EI123" s="166"/>
      <c r="EJ123" s="166"/>
      <c r="EK123" s="166"/>
      <c r="EL123" s="166"/>
      <c r="EM123" s="166"/>
      <c r="EN123" s="166"/>
      <c r="EO123" s="166"/>
      <c r="EP123" s="166"/>
      <c r="EQ123" s="166"/>
      <c r="ER123" s="166"/>
      <c r="ES123" s="166"/>
      <c r="ET123" s="166"/>
      <c r="EU123" s="166"/>
      <c r="EV123" s="166"/>
      <c r="EW123" s="166"/>
      <c r="EX123" s="166"/>
      <c r="EY123" s="166"/>
      <c r="EZ123" s="166"/>
      <c r="FA123" s="166"/>
      <c r="FB123" s="166"/>
      <c r="FC123" s="166"/>
      <c r="FD123" s="166"/>
      <c r="FE123" s="166"/>
      <c r="FF123" s="166"/>
      <c r="FG123" s="166"/>
      <c r="FH123" s="166"/>
      <c r="FI123" s="166"/>
      <c r="FJ123" s="166"/>
      <c r="FK123" s="166"/>
      <c r="FL123" s="166"/>
      <c r="FM123" s="166"/>
      <c r="FN123" s="166"/>
      <c r="FO123" s="166"/>
      <c r="FP123" s="166"/>
      <c r="FQ123" s="166"/>
      <c r="FR123" s="166"/>
      <c r="FS123" s="166"/>
      <c r="FT123" s="166"/>
      <c r="FU123" s="166"/>
      <c r="FV123" s="166"/>
      <c r="FW123" s="166"/>
      <c r="FX123" s="166"/>
      <c r="FY123" s="166"/>
      <c r="FZ123" s="166"/>
      <c r="GA123" s="166"/>
      <c r="GB123" s="166"/>
      <c r="GC123" s="166"/>
      <c r="GD123" s="166"/>
      <c r="GE123" s="166"/>
      <c r="GF123" s="166"/>
      <c r="GG123" s="166"/>
      <c r="GH123" s="166"/>
      <c r="GI123" s="166"/>
      <c r="GJ123" s="166"/>
      <c r="GK123" s="166"/>
      <c r="GL123" s="166"/>
      <c r="GM123" s="166"/>
      <c r="GN123" s="166"/>
      <c r="GO123" s="166"/>
      <c r="GP123" s="166"/>
      <c r="GQ123" s="166"/>
      <c r="GR123" s="166"/>
      <c r="GS123" s="166"/>
      <c r="GT123" s="166"/>
      <c r="GU123" s="166"/>
      <c r="GV123" s="166"/>
      <c r="GW123" s="166"/>
      <c r="GX123" s="166"/>
      <c r="GY123" s="166"/>
      <c r="GZ123" s="166"/>
      <c r="HA123" s="166"/>
      <c r="HB123" s="166"/>
      <c r="HC123" s="166"/>
      <c r="HD123" s="166"/>
      <c r="HE123" s="166"/>
      <c r="HF123" s="166"/>
      <c r="HG123" s="166"/>
      <c r="HH123" s="166"/>
      <c r="HI123" s="166"/>
      <c r="HJ123" s="166"/>
      <c r="HK123" s="166"/>
      <c r="HL123" s="166"/>
      <c r="HM123" s="166"/>
      <c r="HN123" s="166"/>
      <c r="HO123" s="166"/>
      <c r="HP123" s="166"/>
      <c r="HQ123" s="166"/>
      <c r="HR123" s="166"/>
      <c r="HS123" s="166"/>
      <c r="HT123" s="166"/>
      <c r="HU123" s="166"/>
      <c r="HV123" s="166"/>
      <c r="HW123" s="166"/>
      <c r="HX123" s="166"/>
      <c r="HY123" s="166"/>
      <c r="HZ123" s="166"/>
      <c r="IA123" s="166"/>
      <c r="IB123" s="166"/>
      <c r="IC123" s="166"/>
      <c r="ID123" s="166"/>
      <c r="IE123" s="166"/>
      <c r="IF123" s="166"/>
      <c r="IG123" s="166"/>
      <c r="IH123" s="166"/>
      <c r="II123" s="166"/>
      <c r="IJ123" s="166"/>
      <c r="IK123" s="166"/>
      <c r="IL123" s="166"/>
      <c r="IM123" s="166"/>
      <c r="IN123" s="166"/>
      <c r="IO123" s="166"/>
      <c r="IP123" s="166"/>
      <c r="IQ123" s="166"/>
      <c r="IR123" s="166"/>
      <c r="IS123" s="166"/>
      <c r="IT123" s="166"/>
      <c r="IU123" s="166"/>
      <c r="IV123" s="166"/>
    </row>
    <row r="124" spans="1:256" x14ac:dyDescent="0.25">
      <c r="A124" s="325">
        <f>IF(Info!$J$3&gt;0,Info!$J$3+B124, )</f>
        <v>0</v>
      </c>
      <c r="B124" s="215">
        <v>108</v>
      </c>
      <c r="C124" s="300"/>
      <c r="D124" s="211"/>
      <c r="E124" s="294"/>
      <c r="F124" s="294"/>
      <c r="G124" s="211"/>
      <c r="H124" s="211"/>
      <c r="I124" s="211"/>
      <c r="J124" s="205"/>
      <c r="K124" s="38"/>
      <c r="L124" s="166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  <c r="BK124" s="166"/>
      <c r="BL124" s="166"/>
      <c r="BM124" s="166"/>
      <c r="BN124" s="166"/>
      <c r="BO124" s="166"/>
      <c r="BP124" s="166"/>
      <c r="BQ124" s="166"/>
      <c r="BR124" s="166"/>
      <c r="BS124" s="166"/>
      <c r="BT124" s="166"/>
      <c r="BU124" s="166"/>
      <c r="BV124" s="166"/>
      <c r="BW124" s="166"/>
      <c r="BX124" s="166"/>
      <c r="BY124" s="166"/>
      <c r="BZ124" s="166"/>
      <c r="CA124" s="166"/>
      <c r="CB124" s="166"/>
      <c r="CC124" s="166"/>
      <c r="CD124" s="166"/>
      <c r="CE124" s="166"/>
      <c r="CF124" s="166"/>
      <c r="CG124" s="166"/>
      <c r="CH124" s="166"/>
      <c r="CI124" s="166"/>
      <c r="CJ124" s="166"/>
      <c r="CK124" s="166"/>
      <c r="CL124" s="166"/>
      <c r="CM124" s="166"/>
      <c r="CN124" s="166"/>
      <c r="CO124" s="166"/>
      <c r="CP124" s="166"/>
      <c r="CQ124" s="166"/>
      <c r="CR124" s="166"/>
      <c r="CS124" s="166"/>
      <c r="CT124" s="166"/>
      <c r="CU124" s="166"/>
      <c r="CV124" s="166"/>
      <c r="CW124" s="166"/>
      <c r="CX124" s="166"/>
      <c r="CY124" s="166"/>
      <c r="CZ124" s="166"/>
      <c r="DA124" s="166"/>
      <c r="DB124" s="166"/>
      <c r="DC124" s="166"/>
      <c r="DD124" s="166"/>
      <c r="DE124" s="166"/>
      <c r="DF124" s="166"/>
      <c r="DG124" s="166"/>
      <c r="DH124" s="166"/>
      <c r="DI124" s="166"/>
      <c r="DJ124" s="166"/>
      <c r="DK124" s="166"/>
      <c r="DL124" s="166"/>
      <c r="DM124" s="166"/>
      <c r="DN124" s="166"/>
      <c r="DO124" s="166"/>
      <c r="DP124" s="166"/>
      <c r="DQ124" s="166"/>
      <c r="DR124" s="166"/>
      <c r="DS124" s="166"/>
      <c r="DT124" s="166"/>
      <c r="DU124" s="166"/>
      <c r="DV124" s="166"/>
      <c r="DW124" s="166"/>
      <c r="DX124" s="166"/>
      <c r="DY124" s="166"/>
      <c r="DZ124" s="166"/>
      <c r="EA124" s="166"/>
      <c r="EB124" s="166"/>
      <c r="EC124" s="166"/>
      <c r="ED124" s="166"/>
      <c r="EE124" s="166"/>
      <c r="EF124" s="166"/>
      <c r="EG124" s="166"/>
      <c r="EH124" s="166"/>
      <c r="EI124" s="166"/>
      <c r="EJ124" s="166"/>
      <c r="EK124" s="166"/>
      <c r="EL124" s="166"/>
      <c r="EM124" s="166"/>
      <c r="EN124" s="166"/>
      <c r="EO124" s="166"/>
      <c r="EP124" s="166"/>
      <c r="EQ124" s="166"/>
      <c r="ER124" s="166"/>
      <c r="ES124" s="166"/>
      <c r="ET124" s="166"/>
      <c r="EU124" s="166"/>
      <c r="EV124" s="166"/>
      <c r="EW124" s="166"/>
      <c r="EX124" s="166"/>
      <c r="EY124" s="166"/>
      <c r="EZ124" s="166"/>
      <c r="FA124" s="166"/>
      <c r="FB124" s="166"/>
      <c r="FC124" s="166"/>
      <c r="FD124" s="166"/>
      <c r="FE124" s="166"/>
      <c r="FF124" s="166"/>
      <c r="FG124" s="166"/>
      <c r="FH124" s="166"/>
      <c r="FI124" s="166"/>
      <c r="FJ124" s="166"/>
      <c r="FK124" s="166"/>
      <c r="FL124" s="166"/>
      <c r="FM124" s="166"/>
      <c r="FN124" s="166"/>
      <c r="FO124" s="166"/>
      <c r="FP124" s="166"/>
      <c r="FQ124" s="166"/>
      <c r="FR124" s="166"/>
      <c r="FS124" s="166"/>
      <c r="FT124" s="166"/>
      <c r="FU124" s="166"/>
      <c r="FV124" s="166"/>
      <c r="FW124" s="166"/>
      <c r="FX124" s="166"/>
      <c r="FY124" s="166"/>
      <c r="FZ124" s="166"/>
      <c r="GA124" s="166"/>
      <c r="GB124" s="166"/>
      <c r="GC124" s="166"/>
      <c r="GD124" s="166"/>
      <c r="GE124" s="166"/>
      <c r="GF124" s="166"/>
      <c r="GG124" s="166"/>
      <c r="GH124" s="166"/>
      <c r="GI124" s="166"/>
      <c r="GJ124" s="166"/>
      <c r="GK124" s="166"/>
      <c r="GL124" s="166"/>
      <c r="GM124" s="166"/>
      <c r="GN124" s="166"/>
      <c r="GO124" s="166"/>
      <c r="GP124" s="166"/>
      <c r="GQ124" s="166"/>
      <c r="GR124" s="166"/>
      <c r="GS124" s="166"/>
      <c r="GT124" s="166"/>
      <c r="GU124" s="166"/>
      <c r="GV124" s="166"/>
      <c r="GW124" s="166"/>
      <c r="GX124" s="166"/>
      <c r="GY124" s="166"/>
      <c r="GZ124" s="166"/>
      <c r="HA124" s="166"/>
      <c r="HB124" s="166"/>
      <c r="HC124" s="166"/>
      <c r="HD124" s="166"/>
      <c r="HE124" s="166"/>
      <c r="HF124" s="166"/>
      <c r="HG124" s="166"/>
      <c r="HH124" s="166"/>
      <c r="HI124" s="166"/>
      <c r="HJ124" s="166"/>
      <c r="HK124" s="166"/>
      <c r="HL124" s="166"/>
      <c r="HM124" s="166"/>
      <c r="HN124" s="166"/>
      <c r="HO124" s="166"/>
      <c r="HP124" s="166"/>
      <c r="HQ124" s="166"/>
      <c r="HR124" s="166"/>
      <c r="HS124" s="166"/>
      <c r="HT124" s="166"/>
      <c r="HU124" s="166"/>
      <c r="HV124" s="166"/>
      <c r="HW124" s="166"/>
      <c r="HX124" s="166"/>
      <c r="HY124" s="166"/>
      <c r="HZ124" s="166"/>
      <c r="IA124" s="166"/>
      <c r="IB124" s="166"/>
      <c r="IC124" s="166"/>
      <c r="ID124" s="166"/>
      <c r="IE124" s="166"/>
      <c r="IF124" s="166"/>
      <c r="IG124" s="166"/>
      <c r="IH124" s="166"/>
      <c r="II124" s="166"/>
      <c r="IJ124" s="166"/>
      <c r="IK124" s="166"/>
      <c r="IL124" s="166"/>
      <c r="IM124" s="166"/>
      <c r="IN124" s="166"/>
      <c r="IO124" s="166"/>
      <c r="IP124" s="166"/>
      <c r="IQ124" s="166"/>
      <c r="IR124" s="166"/>
      <c r="IS124" s="166"/>
      <c r="IT124" s="166"/>
      <c r="IU124" s="166"/>
      <c r="IV124" s="166"/>
    </row>
    <row r="125" spans="1:256" x14ac:dyDescent="0.25">
      <c r="A125" s="325">
        <f>IF(Info!$J$3&gt;0,Info!$J$3+B125, )</f>
        <v>0</v>
      </c>
      <c r="B125" s="215">
        <v>109</v>
      </c>
      <c r="C125" s="299"/>
      <c r="D125" s="211"/>
      <c r="E125" s="294"/>
      <c r="F125" s="294"/>
      <c r="G125" s="211"/>
      <c r="H125" s="211"/>
      <c r="I125" s="211"/>
      <c r="J125" s="205"/>
      <c r="K125" s="38"/>
      <c r="L125" s="16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  <c r="BK125" s="166"/>
      <c r="BL125" s="166"/>
      <c r="BM125" s="166"/>
      <c r="BN125" s="166"/>
      <c r="BO125" s="166"/>
      <c r="BP125" s="166"/>
      <c r="BQ125" s="166"/>
      <c r="BR125" s="166"/>
      <c r="BS125" s="166"/>
      <c r="BT125" s="166"/>
      <c r="BU125" s="166"/>
      <c r="BV125" s="166"/>
      <c r="BW125" s="166"/>
      <c r="BX125" s="166"/>
      <c r="BY125" s="166"/>
      <c r="BZ125" s="166"/>
      <c r="CA125" s="166"/>
      <c r="CB125" s="166"/>
      <c r="CC125" s="166"/>
      <c r="CD125" s="166"/>
      <c r="CE125" s="166"/>
      <c r="CF125" s="166"/>
      <c r="CG125" s="166"/>
      <c r="CH125" s="166"/>
      <c r="CI125" s="166"/>
      <c r="CJ125" s="166"/>
      <c r="CK125" s="166"/>
      <c r="CL125" s="166"/>
      <c r="CM125" s="166"/>
      <c r="CN125" s="166"/>
      <c r="CO125" s="166"/>
      <c r="CP125" s="166"/>
      <c r="CQ125" s="166"/>
      <c r="CR125" s="166"/>
      <c r="CS125" s="166"/>
      <c r="CT125" s="166"/>
      <c r="CU125" s="166"/>
      <c r="CV125" s="166"/>
      <c r="CW125" s="166"/>
      <c r="CX125" s="166"/>
      <c r="CY125" s="166"/>
      <c r="CZ125" s="166"/>
      <c r="DA125" s="166"/>
      <c r="DB125" s="166"/>
      <c r="DC125" s="166"/>
      <c r="DD125" s="166"/>
      <c r="DE125" s="166"/>
      <c r="DF125" s="166"/>
      <c r="DG125" s="166"/>
      <c r="DH125" s="166"/>
      <c r="DI125" s="166"/>
      <c r="DJ125" s="166"/>
      <c r="DK125" s="166"/>
      <c r="DL125" s="166"/>
      <c r="DM125" s="166"/>
      <c r="DN125" s="166"/>
      <c r="DO125" s="166"/>
      <c r="DP125" s="166"/>
      <c r="DQ125" s="166"/>
      <c r="DR125" s="166"/>
      <c r="DS125" s="166"/>
      <c r="DT125" s="166"/>
      <c r="DU125" s="166"/>
      <c r="DV125" s="166"/>
      <c r="DW125" s="166"/>
      <c r="DX125" s="166"/>
      <c r="DY125" s="166"/>
      <c r="DZ125" s="166"/>
      <c r="EA125" s="166"/>
      <c r="EB125" s="166"/>
      <c r="EC125" s="166"/>
      <c r="ED125" s="166"/>
      <c r="EE125" s="166"/>
      <c r="EF125" s="166"/>
      <c r="EG125" s="166"/>
      <c r="EH125" s="166"/>
      <c r="EI125" s="166"/>
      <c r="EJ125" s="166"/>
      <c r="EK125" s="166"/>
      <c r="EL125" s="166"/>
      <c r="EM125" s="166"/>
      <c r="EN125" s="166"/>
      <c r="EO125" s="166"/>
      <c r="EP125" s="166"/>
      <c r="EQ125" s="166"/>
      <c r="ER125" s="166"/>
      <c r="ES125" s="166"/>
      <c r="ET125" s="166"/>
      <c r="EU125" s="166"/>
      <c r="EV125" s="166"/>
      <c r="EW125" s="166"/>
      <c r="EX125" s="166"/>
      <c r="EY125" s="166"/>
      <c r="EZ125" s="166"/>
      <c r="FA125" s="166"/>
      <c r="FB125" s="166"/>
      <c r="FC125" s="166"/>
      <c r="FD125" s="166"/>
      <c r="FE125" s="166"/>
      <c r="FF125" s="166"/>
      <c r="FG125" s="166"/>
      <c r="FH125" s="166"/>
      <c r="FI125" s="166"/>
      <c r="FJ125" s="166"/>
      <c r="FK125" s="166"/>
      <c r="FL125" s="166"/>
      <c r="FM125" s="166"/>
      <c r="FN125" s="166"/>
      <c r="FO125" s="166"/>
      <c r="FP125" s="166"/>
      <c r="FQ125" s="166"/>
      <c r="FR125" s="166"/>
      <c r="FS125" s="166"/>
      <c r="FT125" s="166"/>
      <c r="FU125" s="166"/>
      <c r="FV125" s="166"/>
      <c r="FW125" s="166"/>
      <c r="FX125" s="166"/>
      <c r="FY125" s="166"/>
      <c r="FZ125" s="166"/>
      <c r="GA125" s="166"/>
      <c r="GB125" s="166"/>
      <c r="GC125" s="166"/>
      <c r="GD125" s="166"/>
      <c r="GE125" s="166"/>
      <c r="GF125" s="166"/>
      <c r="GG125" s="166"/>
      <c r="GH125" s="166"/>
      <c r="GI125" s="166"/>
      <c r="GJ125" s="166"/>
      <c r="GK125" s="166"/>
      <c r="GL125" s="166"/>
      <c r="GM125" s="166"/>
      <c r="GN125" s="166"/>
      <c r="GO125" s="166"/>
      <c r="GP125" s="166"/>
      <c r="GQ125" s="166"/>
      <c r="GR125" s="166"/>
      <c r="GS125" s="166"/>
      <c r="GT125" s="166"/>
      <c r="GU125" s="166"/>
      <c r="GV125" s="166"/>
      <c r="GW125" s="166"/>
      <c r="GX125" s="166"/>
      <c r="GY125" s="166"/>
      <c r="GZ125" s="166"/>
      <c r="HA125" s="166"/>
      <c r="HB125" s="166"/>
      <c r="HC125" s="166"/>
      <c r="HD125" s="166"/>
      <c r="HE125" s="166"/>
      <c r="HF125" s="166"/>
      <c r="HG125" s="166"/>
      <c r="HH125" s="166"/>
      <c r="HI125" s="166"/>
      <c r="HJ125" s="166"/>
      <c r="HK125" s="166"/>
      <c r="HL125" s="166"/>
      <c r="HM125" s="166"/>
      <c r="HN125" s="166"/>
      <c r="HO125" s="166"/>
      <c r="HP125" s="166"/>
      <c r="HQ125" s="166"/>
      <c r="HR125" s="166"/>
      <c r="HS125" s="166"/>
      <c r="HT125" s="166"/>
      <c r="HU125" s="166"/>
      <c r="HV125" s="166"/>
      <c r="HW125" s="166"/>
      <c r="HX125" s="166"/>
      <c r="HY125" s="166"/>
      <c r="HZ125" s="166"/>
      <c r="IA125" s="166"/>
      <c r="IB125" s="166"/>
      <c r="IC125" s="166"/>
      <c r="ID125" s="166"/>
      <c r="IE125" s="166"/>
      <c r="IF125" s="166"/>
      <c r="IG125" s="166"/>
      <c r="IH125" s="166"/>
      <c r="II125" s="166"/>
      <c r="IJ125" s="166"/>
      <c r="IK125" s="166"/>
      <c r="IL125" s="166"/>
      <c r="IM125" s="166"/>
      <c r="IN125" s="166"/>
      <c r="IO125" s="166"/>
      <c r="IP125" s="166"/>
      <c r="IQ125" s="166"/>
      <c r="IR125" s="166"/>
      <c r="IS125" s="166"/>
      <c r="IT125" s="166"/>
      <c r="IU125" s="166"/>
      <c r="IV125" s="166"/>
    </row>
    <row r="126" spans="1:256" x14ac:dyDescent="0.25">
      <c r="A126" s="325">
        <f>IF(Info!$J$3&gt;0,Info!$J$3+B126, )</f>
        <v>0</v>
      </c>
      <c r="B126" s="215">
        <v>110</v>
      </c>
      <c r="C126" s="299"/>
      <c r="D126" s="211"/>
      <c r="E126" s="294"/>
      <c r="F126" s="294"/>
      <c r="G126" s="211"/>
      <c r="H126" s="211"/>
      <c r="I126" s="211"/>
      <c r="J126" s="205"/>
      <c r="K126" s="38"/>
      <c r="L126" s="166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  <c r="BK126" s="166"/>
      <c r="BL126" s="166"/>
      <c r="BM126" s="166"/>
      <c r="BN126" s="166"/>
      <c r="BO126" s="166"/>
      <c r="BP126" s="166"/>
      <c r="BQ126" s="166"/>
      <c r="BR126" s="166"/>
      <c r="BS126" s="166"/>
      <c r="BT126" s="166"/>
      <c r="BU126" s="166"/>
      <c r="BV126" s="166"/>
      <c r="BW126" s="166"/>
      <c r="BX126" s="166"/>
      <c r="BY126" s="166"/>
      <c r="BZ126" s="166"/>
      <c r="CA126" s="166"/>
      <c r="CB126" s="166"/>
      <c r="CC126" s="166"/>
      <c r="CD126" s="166"/>
      <c r="CE126" s="166"/>
      <c r="CF126" s="166"/>
      <c r="CG126" s="166"/>
      <c r="CH126" s="166"/>
      <c r="CI126" s="166"/>
      <c r="CJ126" s="166"/>
      <c r="CK126" s="166"/>
      <c r="CL126" s="166"/>
      <c r="CM126" s="166"/>
      <c r="CN126" s="166"/>
      <c r="CO126" s="166"/>
      <c r="CP126" s="166"/>
      <c r="CQ126" s="166"/>
      <c r="CR126" s="166"/>
      <c r="CS126" s="166"/>
      <c r="CT126" s="166"/>
      <c r="CU126" s="166"/>
      <c r="CV126" s="166"/>
      <c r="CW126" s="166"/>
      <c r="CX126" s="166"/>
      <c r="CY126" s="166"/>
      <c r="CZ126" s="166"/>
      <c r="DA126" s="166"/>
      <c r="DB126" s="166"/>
      <c r="DC126" s="166"/>
      <c r="DD126" s="166"/>
      <c r="DE126" s="166"/>
      <c r="DF126" s="166"/>
      <c r="DG126" s="166"/>
      <c r="DH126" s="166"/>
      <c r="DI126" s="166"/>
      <c r="DJ126" s="166"/>
      <c r="DK126" s="166"/>
      <c r="DL126" s="166"/>
      <c r="DM126" s="166"/>
      <c r="DN126" s="166"/>
      <c r="DO126" s="166"/>
      <c r="DP126" s="166"/>
      <c r="DQ126" s="166"/>
      <c r="DR126" s="166"/>
      <c r="DS126" s="166"/>
      <c r="DT126" s="166"/>
      <c r="DU126" s="166"/>
      <c r="DV126" s="166"/>
      <c r="DW126" s="166"/>
      <c r="DX126" s="166"/>
      <c r="DY126" s="166"/>
      <c r="DZ126" s="166"/>
      <c r="EA126" s="166"/>
      <c r="EB126" s="166"/>
      <c r="EC126" s="166"/>
      <c r="ED126" s="166"/>
      <c r="EE126" s="166"/>
      <c r="EF126" s="166"/>
      <c r="EG126" s="166"/>
      <c r="EH126" s="166"/>
      <c r="EI126" s="166"/>
      <c r="EJ126" s="166"/>
      <c r="EK126" s="166"/>
      <c r="EL126" s="166"/>
      <c r="EM126" s="166"/>
      <c r="EN126" s="166"/>
      <c r="EO126" s="166"/>
      <c r="EP126" s="166"/>
      <c r="EQ126" s="166"/>
      <c r="ER126" s="166"/>
      <c r="ES126" s="166"/>
      <c r="ET126" s="166"/>
      <c r="EU126" s="166"/>
      <c r="EV126" s="166"/>
      <c r="EW126" s="166"/>
      <c r="EX126" s="166"/>
      <c r="EY126" s="166"/>
      <c r="EZ126" s="166"/>
      <c r="FA126" s="166"/>
      <c r="FB126" s="166"/>
      <c r="FC126" s="166"/>
      <c r="FD126" s="166"/>
      <c r="FE126" s="166"/>
      <c r="FF126" s="166"/>
      <c r="FG126" s="166"/>
      <c r="FH126" s="166"/>
      <c r="FI126" s="166"/>
      <c r="FJ126" s="166"/>
      <c r="FK126" s="166"/>
      <c r="FL126" s="166"/>
      <c r="FM126" s="166"/>
      <c r="FN126" s="166"/>
      <c r="FO126" s="166"/>
      <c r="FP126" s="166"/>
      <c r="FQ126" s="166"/>
      <c r="FR126" s="166"/>
      <c r="FS126" s="166"/>
      <c r="FT126" s="166"/>
      <c r="FU126" s="166"/>
      <c r="FV126" s="166"/>
      <c r="FW126" s="166"/>
      <c r="FX126" s="166"/>
      <c r="FY126" s="166"/>
      <c r="FZ126" s="166"/>
      <c r="GA126" s="166"/>
      <c r="GB126" s="166"/>
      <c r="GC126" s="166"/>
      <c r="GD126" s="166"/>
      <c r="GE126" s="166"/>
      <c r="GF126" s="166"/>
      <c r="GG126" s="166"/>
      <c r="GH126" s="166"/>
      <c r="GI126" s="166"/>
      <c r="GJ126" s="166"/>
      <c r="GK126" s="166"/>
      <c r="GL126" s="166"/>
      <c r="GM126" s="166"/>
      <c r="GN126" s="166"/>
      <c r="GO126" s="166"/>
      <c r="GP126" s="166"/>
      <c r="GQ126" s="166"/>
      <c r="GR126" s="166"/>
      <c r="GS126" s="166"/>
      <c r="GT126" s="166"/>
      <c r="GU126" s="166"/>
      <c r="GV126" s="166"/>
      <c r="GW126" s="166"/>
      <c r="GX126" s="166"/>
      <c r="GY126" s="166"/>
      <c r="GZ126" s="166"/>
      <c r="HA126" s="166"/>
      <c r="HB126" s="166"/>
      <c r="HC126" s="166"/>
      <c r="HD126" s="166"/>
      <c r="HE126" s="166"/>
      <c r="HF126" s="166"/>
      <c r="HG126" s="166"/>
      <c r="HH126" s="166"/>
      <c r="HI126" s="166"/>
      <c r="HJ126" s="166"/>
      <c r="HK126" s="166"/>
      <c r="HL126" s="166"/>
      <c r="HM126" s="166"/>
      <c r="HN126" s="166"/>
      <c r="HO126" s="166"/>
      <c r="HP126" s="166"/>
      <c r="HQ126" s="166"/>
      <c r="HR126" s="166"/>
      <c r="HS126" s="166"/>
      <c r="HT126" s="166"/>
      <c r="HU126" s="166"/>
      <c r="HV126" s="166"/>
      <c r="HW126" s="166"/>
      <c r="HX126" s="166"/>
      <c r="HY126" s="166"/>
      <c r="HZ126" s="166"/>
      <c r="IA126" s="166"/>
      <c r="IB126" s="166"/>
      <c r="IC126" s="166"/>
      <c r="ID126" s="166"/>
      <c r="IE126" s="166"/>
      <c r="IF126" s="166"/>
      <c r="IG126" s="166"/>
      <c r="IH126" s="166"/>
      <c r="II126" s="166"/>
      <c r="IJ126" s="166"/>
      <c r="IK126" s="166"/>
      <c r="IL126" s="166"/>
      <c r="IM126" s="166"/>
      <c r="IN126" s="166"/>
      <c r="IO126" s="166"/>
      <c r="IP126" s="166"/>
      <c r="IQ126" s="166"/>
      <c r="IR126" s="166"/>
      <c r="IS126" s="166"/>
      <c r="IT126" s="166"/>
      <c r="IU126" s="166"/>
      <c r="IV126" s="166"/>
    </row>
    <row r="127" spans="1:256" x14ac:dyDescent="0.25">
      <c r="A127" s="325">
        <f>IF(Info!$J$3&gt;0,Info!$J$3+B127, )</f>
        <v>0</v>
      </c>
      <c r="B127" s="215">
        <v>111</v>
      </c>
      <c r="C127" s="300"/>
      <c r="D127" s="211"/>
      <c r="E127" s="294"/>
      <c r="F127" s="294"/>
      <c r="G127" s="211"/>
      <c r="H127" s="211"/>
      <c r="I127" s="211"/>
      <c r="J127" s="205"/>
      <c r="K127" s="38"/>
      <c r="L127" s="166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  <c r="BK127" s="166"/>
      <c r="BL127" s="166"/>
      <c r="BM127" s="166"/>
      <c r="BN127" s="166"/>
      <c r="BO127" s="166"/>
      <c r="BP127" s="166"/>
      <c r="BQ127" s="166"/>
      <c r="BR127" s="166"/>
      <c r="BS127" s="166"/>
      <c r="BT127" s="166"/>
      <c r="BU127" s="166"/>
      <c r="BV127" s="166"/>
      <c r="BW127" s="166"/>
      <c r="BX127" s="166"/>
      <c r="BY127" s="166"/>
      <c r="BZ127" s="166"/>
      <c r="CA127" s="166"/>
      <c r="CB127" s="166"/>
      <c r="CC127" s="166"/>
      <c r="CD127" s="166"/>
      <c r="CE127" s="166"/>
      <c r="CF127" s="166"/>
      <c r="CG127" s="166"/>
      <c r="CH127" s="166"/>
      <c r="CI127" s="166"/>
      <c r="CJ127" s="166"/>
      <c r="CK127" s="166"/>
      <c r="CL127" s="166"/>
      <c r="CM127" s="166"/>
      <c r="CN127" s="166"/>
      <c r="CO127" s="166"/>
      <c r="CP127" s="166"/>
      <c r="CQ127" s="166"/>
      <c r="CR127" s="166"/>
      <c r="CS127" s="166"/>
      <c r="CT127" s="166"/>
      <c r="CU127" s="166"/>
      <c r="CV127" s="166"/>
      <c r="CW127" s="166"/>
      <c r="CX127" s="166"/>
      <c r="CY127" s="166"/>
      <c r="CZ127" s="166"/>
      <c r="DA127" s="166"/>
      <c r="DB127" s="166"/>
      <c r="DC127" s="166"/>
      <c r="DD127" s="166"/>
      <c r="DE127" s="166"/>
      <c r="DF127" s="166"/>
      <c r="DG127" s="166"/>
      <c r="DH127" s="166"/>
      <c r="DI127" s="166"/>
      <c r="DJ127" s="166"/>
      <c r="DK127" s="166"/>
      <c r="DL127" s="166"/>
      <c r="DM127" s="166"/>
      <c r="DN127" s="166"/>
      <c r="DO127" s="166"/>
      <c r="DP127" s="166"/>
      <c r="DQ127" s="166"/>
      <c r="DR127" s="166"/>
      <c r="DS127" s="166"/>
      <c r="DT127" s="166"/>
      <c r="DU127" s="166"/>
      <c r="DV127" s="166"/>
      <c r="DW127" s="166"/>
      <c r="DX127" s="166"/>
      <c r="DY127" s="166"/>
      <c r="DZ127" s="166"/>
      <c r="EA127" s="166"/>
      <c r="EB127" s="166"/>
      <c r="EC127" s="166"/>
      <c r="ED127" s="166"/>
      <c r="EE127" s="166"/>
      <c r="EF127" s="166"/>
      <c r="EG127" s="166"/>
      <c r="EH127" s="166"/>
      <c r="EI127" s="166"/>
      <c r="EJ127" s="166"/>
      <c r="EK127" s="166"/>
      <c r="EL127" s="166"/>
      <c r="EM127" s="166"/>
      <c r="EN127" s="166"/>
      <c r="EO127" s="166"/>
      <c r="EP127" s="166"/>
      <c r="EQ127" s="166"/>
      <c r="ER127" s="166"/>
      <c r="ES127" s="166"/>
      <c r="ET127" s="166"/>
      <c r="EU127" s="166"/>
      <c r="EV127" s="166"/>
      <c r="EW127" s="166"/>
      <c r="EX127" s="166"/>
      <c r="EY127" s="166"/>
      <c r="EZ127" s="166"/>
      <c r="FA127" s="166"/>
      <c r="FB127" s="166"/>
      <c r="FC127" s="166"/>
      <c r="FD127" s="166"/>
      <c r="FE127" s="166"/>
      <c r="FF127" s="166"/>
      <c r="FG127" s="166"/>
      <c r="FH127" s="166"/>
      <c r="FI127" s="166"/>
      <c r="FJ127" s="166"/>
      <c r="FK127" s="166"/>
      <c r="FL127" s="166"/>
      <c r="FM127" s="166"/>
      <c r="FN127" s="166"/>
      <c r="FO127" s="166"/>
      <c r="FP127" s="166"/>
      <c r="FQ127" s="166"/>
      <c r="FR127" s="166"/>
      <c r="FS127" s="166"/>
      <c r="FT127" s="166"/>
      <c r="FU127" s="166"/>
      <c r="FV127" s="166"/>
      <c r="FW127" s="166"/>
      <c r="FX127" s="166"/>
      <c r="FY127" s="166"/>
      <c r="FZ127" s="166"/>
      <c r="GA127" s="166"/>
      <c r="GB127" s="166"/>
      <c r="GC127" s="166"/>
      <c r="GD127" s="166"/>
      <c r="GE127" s="166"/>
      <c r="GF127" s="166"/>
      <c r="GG127" s="166"/>
      <c r="GH127" s="166"/>
      <c r="GI127" s="166"/>
      <c r="GJ127" s="166"/>
      <c r="GK127" s="166"/>
      <c r="GL127" s="166"/>
      <c r="GM127" s="166"/>
      <c r="GN127" s="166"/>
      <c r="GO127" s="166"/>
      <c r="GP127" s="166"/>
      <c r="GQ127" s="166"/>
      <c r="GR127" s="166"/>
      <c r="GS127" s="166"/>
      <c r="GT127" s="166"/>
      <c r="GU127" s="166"/>
      <c r="GV127" s="166"/>
      <c r="GW127" s="166"/>
      <c r="GX127" s="166"/>
      <c r="GY127" s="166"/>
      <c r="GZ127" s="166"/>
      <c r="HA127" s="166"/>
      <c r="HB127" s="166"/>
      <c r="HC127" s="166"/>
      <c r="HD127" s="166"/>
      <c r="HE127" s="166"/>
      <c r="HF127" s="166"/>
      <c r="HG127" s="166"/>
      <c r="HH127" s="166"/>
      <c r="HI127" s="166"/>
      <c r="HJ127" s="166"/>
      <c r="HK127" s="166"/>
      <c r="HL127" s="166"/>
      <c r="HM127" s="166"/>
      <c r="HN127" s="166"/>
      <c r="HO127" s="166"/>
      <c r="HP127" s="166"/>
      <c r="HQ127" s="166"/>
      <c r="HR127" s="166"/>
      <c r="HS127" s="166"/>
      <c r="HT127" s="166"/>
      <c r="HU127" s="166"/>
      <c r="HV127" s="166"/>
      <c r="HW127" s="166"/>
      <c r="HX127" s="166"/>
      <c r="HY127" s="166"/>
      <c r="HZ127" s="166"/>
      <c r="IA127" s="166"/>
      <c r="IB127" s="166"/>
      <c r="IC127" s="166"/>
      <c r="ID127" s="166"/>
      <c r="IE127" s="166"/>
      <c r="IF127" s="166"/>
      <c r="IG127" s="166"/>
      <c r="IH127" s="166"/>
      <c r="II127" s="166"/>
      <c r="IJ127" s="166"/>
      <c r="IK127" s="166"/>
      <c r="IL127" s="166"/>
      <c r="IM127" s="166"/>
      <c r="IN127" s="166"/>
      <c r="IO127" s="166"/>
      <c r="IP127" s="166"/>
      <c r="IQ127" s="166"/>
      <c r="IR127" s="166"/>
      <c r="IS127" s="166"/>
      <c r="IT127" s="166"/>
      <c r="IU127" s="166"/>
      <c r="IV127" s="166"/>
    </row>
    <row r="128" spans="1:256" x14ac:dyDescent="0.25">
      <c r="A128" s="325">
        <f>IF(Info!$J$3&gt;0,Info!$J$3+B128, )</f>
        <v>0</v>
      </c>
      <c r="B128" s="215">
        <v>112</v>
      </c>
      <c r="C128" s="299"/>
      <c r="D128" s="211"/>
      <c r="E128" s="294"/>
      <c r="F128" s="294"/>
      <c r="G128" s="211"/>
      <c r="H128" s="211"/>
      <c r="I128" s="211"/>
      <c r="J128" s="206"/>
    </row>
    <row r="129" spans="1:10" x14ac:dyDescent="0.25">
      <c r="A129" s="326">
        <f>A128</f>
        <v>0</v>
      </c>
      <c r="B129" s="207" t="str">
        <f>Traducción!$B$24&amp;" 16"</f>
        <v>Sem. 16</v>
      </c>
      <c r="C129" s="301">
        <f>SUM(C122:C128)</f>
        <v>0</v>
      </c>
      <c r="D129" s="288">
        <f t="shared" ref="D129" si="39">IFERROR(AVERAGE(D122:D128), )</f>
        <v>0</v>
      </c>
      <c r="E129" s="296">
        <f t="shared" ref="E129:F129" si="40">SUM(E122:E128)</f>
        <v>0</v>
      </c>
      <c r="F129" s="296">
        <f t="shared" si="40"/>
        <v>0</v>
      </c>
      <c r="G129" s="288">
        <f t="shared" ref="G129:I129" si="41">IFERROR(AVERAGE(G122:G128), )</f>
        <v>0</v>
      </c>
      <c r="H129" s="210">
        <f t="shared" si="41"/>
        <v>0</v>
      </c>
      <c r="I129" s="210">
        <f t="shared" si="41"/>
        <v>0</v>
      </c>
      <c r="J129" s="202"/>
    </row>
    <row r="130" spans="1:10" x14ac:dyDescent="0.25">
      <c r="A130" s="325">
        <f>IF(Info!$J$3&gt;0,Info!$J$3+B130, )</f>
        <v>0</v>
      </c>
      <c r="B130" s="215">
        <v>113</v>
      </c>
      <c r="C130" s="299"/>
      <c r="D130" s="211"/>
      <c r="E130" s="294"/>
      <c r="F130" s="294"/>
      <c r="G130" s="211"/>
      <c r="H130" s="211"/>
      <c r="I130" s="211"/>
      <c r="J130" s="204"/>
    </row>
    <row r="131" spans="1:10" x14ac:dyDescent="0.25">
      <c r="A131" s="325">
        <f>IF(Info!$J$3&gt;0,Info!$J$3+B131, )</f>
        <v>0</v>
      </c>
      <c r="B131" s="215">
        <v>114</v>
      </c>
      <c r="C131" s="300"/>
      <c r="D131" s="211"/>
      <c r="E131" s="294"/>
      <c r="F131" s="294"/>
      <c r="G131" s="211"/>
      <c r="H131" s="211"/>
      <c r="I131" s="211"/>
      <c r="J131" s="205"/>
    </row>
    <row r="132" spans="1:10" x14ac:dyDescent="0.25">
      <c r="A132" s="325">
        <f>IF(Info!$J$3&gt;0,Info!$J$3+B132, )</f>
        <v>0</v>
      </c>
      <c r="B132" s="215">
        <v>115</v>
      </c>
      <c r="C132" s="299"/>
      <c r="D132" s="211"/>
      <c r="E132" s="294"/>
      <c r="F132" s="294"/>
      <c r="G132" s="211"/>
      <c r="H132" s="211"/>
      <c r="I132" s="211"/>
      <c r="J132" s="205"/>
    </row>
    <row r="133" spans="1:10" x14ac:dyDescent="0.25">
      <c r="A133" s="325">
        <f>IF(Info!$J$3&gt;0,Info!$J$3+B133, )</f>
        <v>0</v>
      </c>
      <c r="B133" s="215">
        <v>116</v>
      </c>
      <c r="C133" s="299"/>
      <c r="D133" s="211"/>
      <c r="E133" s="294"/>
      <c r="F133" s="294"/>
      <c r="G133" s="211"/>
      <c r="H133" s="211"/>
      <c r="I133" s="211"/>
      <c r="J133" s="205"/>
    </row>
    <row r="134" spans="1:10" x14ac:dyDescent="0.25">
      <c r="A134" s="325">
        <f>IF(Info!$J$3&gt;0,Info!$J$3+B134, )</f>
        <v>0</v>
      </c>
      <c r="B134" s="215">
        <v>117</v>
      </c>
      <c r="C134" s="300"/>
      <c r="D134" s="211"/>
      <c r="E134" s="294"/>
      <c r="F134" s="294"/>
      <c r="G134" s="211"/>
      <c r="H134" s="211"/>
      <c r="I134" s="211"/>
      <c r="J134" s="205"/>
    </row>
    <row r="135" spans="1:10" x14ac:dyDescent="0.25">
      <c r="A135" s="325">
        <f>IF(Info!$J$3&gt;0,Info!$J$3+B135, )</f>
        <v>0</v>
      </c>
      <c r="B135" s="215">
        <v>118</v>
      </c>
      <c r="C135" s="299"/>
      <c r="D135" s="211"/>
      <c r="E135" s="294"/>
      <c r="F135" s="294"/>
      <c r="G135" s="211"/>
      <c r="H135" s="211"/>
      <c r="I135" s="211"/>
      <c r="J135" s="205"/>
    </row>
    <row r="136" spans="1:10" x14ac:dyDescent="0.25">
      <c r="A136" s="325">
        <f>IF(Info!$J$3&gt;0,Info!$J$3+B136, )</f>
        <v>0</v>
      </c>
      <c r="B136" s="215">
        <v>119</v>
      </c>
      <c r="C136" s="299"/>
      <c r="D136" s="211"/>
      <c r="E136" s="294"/>
      <c r="F136" s="294"/>
      <c r="G136" s="211"/>
      <c r="H136" s="211"/>
      <c r="I136" s="211"/>
      <c r="J136" s="206"/>
    </row>
    <row r="137" spans="1:10" x14ac:dyDescent="0.25">
      <c r="A137" s="326">
        <f>A136</f>
        <v>0</v>
      </c>
      <c r="B137" s="207" t="str">
        <f>Traducción!$B$24&amp;" 17"</f>
        <v>Sem. 17</v>
      </c>
      <c r="C137" s="301">
        <f>SUM(C130:C136)</f>
        <v>0</v>
      </c>
      <c r="D137" s="288">
        <f t="shared" ref="D137" si="42">IFERROR(AVERAGE(D130:D136), )</f>
        <v>0</v>
      </c>
      <c r="E137" s="296">
        <f t="shared" ref="E137:F137" si="43">SUM(E130:E136)</f>
        <v>0</v>
      </c>
      <c r="F137" s="296">
        <f t="shared" si="43"/>
        <v>0</v>
      </c>
      <c r="G137" s="288">
        <f t="shared" ref="G137:I137" si="44">IFERROR(AVERAGE(G130:G136), )</f>
        <v>0</v>
      </c>
      <c r="H137" s="210">
        <f t="shared" si="44"/>
        <v>0</v>
      </c>
      <c r="I137" s="210">
        <f t="shared" si="44"/>
        <v>0</v>
      </c>
      <c r="J137" s="202"/>
    </row>
    <row r="138" spans="1:10" x14ac:dyDescent="0.25">
      <c r="A138" s="325">
        <f>IF(Info!$J$3&gt;0,Info!$J$3+B138, )</f>
        <v>0</v>
      </c>
      <c r="B138" s="215">
        <v>120</v>
      </c>
      <c r="C138" s="299"/>
      <c r="D138" s="211"/>
      <c r="E138" s="294"/>
      <c r="F138" s="294"/>
      <c r="G138" s="211"/>
      <c r="H138" s="211"/>
      <c r="I138" s="211"/>
      <c r="J138" s="204"/>
    </row>
    <row r="139" spans="1:10" x14ac:dyDescent="0.25">
      <c r="A139" s="325">
        <f>IF(Info!$J$3&gt;0,Info!$J$3+B139, )</f>
        <v>0</v>
      </c>
      <c r="B139" s="215">
        <v>121</v>
      </c>
      <c r="C139" s="299"/>
      <c r="D139" s="211"/>
      <c r="E139" s="294"/>
      <c r="F139" s="294"/>
      <c r="G139" s="211"/>
      <c r="H139" s="211"/>
      <c r="I139" s="211"/>
      <c r="J139" s="205"/>
    </row>
    <row r="140" spans="1:10" x14ac:dyDescent="0.25">
      <c r="A140" s="325">
        <f>IF(Info!$J$3&gt;0,Info!$J$3+B140, )</f>
        <v>0</v>
      </c>
      <c r="B140" s="215">
        <v>122</v>
      </c>
      <c r="C140" s="299"/>
      <c r="D140" s="211"/>
      <c r="E140" s="294"/>
      <c r="F140" s="294"/>
      <c r="G140" s="211"/>
      <c r="H140" s="211"/>
      <c r="I140" s="211"/>
      <c r="J140" s="205"/>
    </row>
    <row r="141" spans="1:10" x14ac:dyDescent="0.25">
      <c r="A141" s="325">
        <f>IF(Info!$J$3&gt;0,Info!$J$3+B141, )</f>
        <v>0</v>
      </c>
      <c r="B141" s="215">
        <v>123</v>
      </c>
      <c r="C141" s="300"/>
      <c r="D141" s="211"/>
      <c r="E141" s="294"/>
      <c r="F141" s="294"/>
      <c r="G141" s="211"/>
      <c r="H141" s="211"/>
      <c r="I141" s="211"/>
      <c r="J141" s="205"/>
    </row>
    <row r="142" spans="1:10" x14ac:dyDescent="0.25">
      <c r="A142" s="325">
        <f>IF(Info!$J$3&gt;0,Info!$J$3+B142, )</f>
        <v>0</v>
      </c>
      <c r="B142" s="215">
        <v>124</v>
      </c>
      <c r="C142" s="299"/>
      <c r="D142" s="211"/>
      <c r="E142" s="294"/>
      <c r="F142" s="294"/>
      <c r="G142" s="211"/>
      <c r="H142" s="211"/>
      <c r="I142" s="211"/>
      <c r="J142" s="205"/>
    </row>
    <row r="143" spans="1:10" x14ac:dyDescent="0.25">
      <c r="A143" s="325">
        <f>IF(Info!$J$3&gt;0,Info!$J$3+B143, )</f>
        <v>0</v>
      </c>
      <c r="B143" s="215">
        <v>125</v>
      </c>
      <c r="C143" s="299"/>
      <c r="D143" s="211"/>
      <c r="E143" s="294"/>
      <c r="F143" s="294"/>
      <c r="G143" s="211"/>
      <c r="H143" s="211"/>
      <c r="I143" s="211"/>
      <c r="J143" s="205"/>
    </row>
    <row r="144" spans="1:10" x14ac:dyDescent="0.25">
      <c r="A144" s="325">
        <f>IF(Info!$J$3&gt;0,Info!$J$3+B144, )</f>
        <v>0</v>
      </c>
      <c r="B144" s="215">
        <v>126</v>
      </c>
      <c r="C144" s="300"/>
      <c r="D144" s="211"/>
      <c r="E144" s="294"/>
      <c r="F144" s="294"/>
      <c r="G144" s="211"/>
      <c r="H144" s="211"/>
      <c r="I144" s="211"/>
      <c r="J144" s="206"/>
    </row>
    <row r="145" spans="1:10" x14ac:dyDescent="0.25">
      <c r="A145" s="326">
        <f>A144</f>
        <v>0</v>
      </c>
      <c r="B145" s="207" t="str">
        <f>Traducción!$B$24&amp;" 18"</f>
        <v>Sem. 18</v>
      </c>
      <c r="C145" s="301">
        <f>SUM(C138:C144)</f>
        <v>0</v>
      </c>
      <c r="D145" s="288">
        <f t="shared" ref="D145" si="45">IFERROR(AVERAGE(D138:D144), )</f>
        <v>0</v>
      </c>
      <c r="E145" s="296">
        <f t="shared" ref="E145:F145" si="46">SUM(E138:E144)</f>
        <v>0</v>
      </c>
      <c r="F145" s="296">
        <f t="shared" si="46"/>
        <v>0</v>
      </c>
      <c r="G145" s="288">
        <f t="shared" ref="G145:I145" si="47">IFERROR(AVERAGE(G138:G144), )</f>
        <v>0</v>
      </c>
      <c r="H145" s="210">
        <f t="shared" si="47"/>
        <v>0</v>
      </c>
      <c r="I145" s="210">
        <f t="shared" si="47"/>
        <v>0</v>
      </c>
      <c r="J145" s="202"/>
    </row>
    <row r="146" spans="1:10" x14ac:dyDescent="0.25">
      <c r="A146" s="325">
        <f>IF(Info!$J$3&gt;0,Info!$J$3+B146, )</f>
        <v>0</v>
      </c>
      <c r="B146" s="215">
        <v>127</v>
      </c>
      <c r="C146" s="299"/>
      <c r="D146" s="211"/>
      <c r="E146" s="294"/>
      <c r="F146" s="294"/>
      <c r="G146" s="211"/>
      <c r="H146" s="211"/>
      <c r="I146" s="211"/>
      <c r="J146" s="204"/>
    </row>
    <row r="147" spans="1:10" x14ac:dyDescent="0.25">
      <c r="A147" s="325">
        <f>IF(Info!$J$3&gt;0,Info!$J$3+B147, )</f>
        <v>0</v>
      </c>
      <c r="B147" s="215">
        <v>128</v>
      </c>
      <c r="C147" s="299"/>
      <c r="D147" s="211"/>
      <c r="E147" s="294"/>
      <c r="F147" s="294"/>
      <c r="G147" s="211"/>
      <c r="H147" s="211"/>
      <c r="I147" s="211"/>
      <c r="J147" s="205"/>
    </row>
    <row r="148" spans="1:10" x14ac:dyDescent="0.25">
      <c r="A148" s="325">
        <f>IF(Info!$J$3&gt;0,Info!$J$3+B148, )</f>
        <v>0</v>
      </c>
      <c r="B148" s="215">
        <v>129</v>
      </c>
      <c r="C148" s="300"/>
      <c r="D148" s="211"/>
      <c r="E148" s="294"/>
      <c r="F148" s="294"/>
      <c r="G148" s="211"/>
      <c r="H148" s="211"/>
      <c r="I148" s="211"/>
      <c r="J148" s="205"/>
    </row>
    <row r="149" spans="1:10" x14ac:dyDescent="0.25">
      <c r="A149" s="325">
        <f>IF(Info!$J$3&gt;0,Info!$J$3+B149, )</f>
        <v>0</v>
      </c>
      <c r="B149" s="215">
        <v>130</v>
      </c>
      <c r="C149" s="299"/>
      <c r="D149" s="211"/>
      <c r="E149" s="294"/>
      <c r="F149" s="294"/>
      <c r="G149" s="211"/>
      <c r="H149" s="211"/>
      <c r="I149" s="211"/>
      <c r="J149" s="205"/>
    </row>
    <row r="150" spans="1:10" x14ac:dyDescent="0.25">
      <c r="A150" s="325">
        <f>IF(Info!$J$3&gt;0,Info!$J$3+B150, )</f>
        <v>0</v>
      </c>
      <c r="B150" s="215">
        <v>131</v>
      </c>
      <c r="C150" s="299"/>
      <c r="D150" s="211"/>
      <c r="E150" s="294"/>
      <c r="F150" s="294"/>
      <c r="G150" s="211"/>
      <c r="H150" s="211"/>
      <c r="I150" s="211"/>
      <c r="J150" s="205"/>
    </row>
    <row r="151" spans="1:10" x14ac:dyDescent="0.25">
      <c r="A151" s="325">
        <f>IF(Info!$J$3&gt;0,Info!$J$3+B151, )</f>
        <v>0</v>
      </c>
      <c r="B151" s="215">
        <v>132</v>
      </c>
      <c r="C151" s="300"/>
      <c r="D151" s="211"/>
      <c r="E151" s="294"/>
      <c r="F151" s="294"/>
      <c r="G151" s="211"/>
      <c r="H151" s="211"/>
      <c r="I151" s="211"/>
      <c r="J151" s="205"/>
    </row>
    <row r="152" spans="1:10" x14ac:dyDescent="0.25">
      <c r="A152" s="325">
        <f>IF(Info!$J$3&gt;0,Info!$J$3+B152, )</f>
        <v>0</v>
      </c>
      <c r="B152" s="215">
        <v>133</v>
      </c>
      <c r="C152" s="299"/>
      <c r="D152" s="211"/>
      <c r="E152" s="294"/>
      <c r="F152" s="294"/>
      <c r="G152" s="211"/>
      <c r="H152" s="211"/>
      <c r="I152" s="211"/>
      <c r="J152" s="206"/>
    </row>
    <row r="153" spans="1:10" x14ac:dyDescent="0.25">
      <c r="A153" s="326">
        <f>A152</f>
        <v>0</v>
      </c>
      <c r="B153" s="207" t="str">
        <f>Traducción!$B$24&amp;" 19"</f>
        <v>Sem. 19</v>
      </c>
      <c r="C153" s="301">
        <f>SUM(C146:C152)</f>
        <v>0</v>
      </c>
      <c r="D153" s="288">
        <f t="shared" ref="D153" si="48">IFERROR(AVERAGE(D146:D152), )</f>
        <v>0</v>
      </c>
      <c r="E153" s="296">
        <f t="shared" ref="E153:F153" si="49">SUM(E146:E152)</f>
        <v>0</v>
      </c>
      <c r="F153" s="296">
        <f t="shared" si="49"/>
        <v>0</v>
      </c>
      <c r="G153" s="288">
        <f t="shared" ref="G153:I153" si="50">IFERROR(AVERAGE(G146:G152), )</f>
        <v>0</v>
      </c>
      <c r="H153" s="210">
        <f t="shared" si="50"/>
        <v>0</v>
      </c>
      <c r="I153" s="210">
        <f t="shared" si="50"/>
        <v>0</v>
      </c>
      <c r="J153" s="202"/>
    </row>
    <row r="154" spans="1:10" x14ac:dyDescent="0.25">
      <c r="A154" s="325">
        <f>IF(Info!$J$3&gt;0,Info!$J$3+B154, )</f>
        <v>0</v>
      </c>
      <c r="B154" s="215">
        <v>134</v>
      </c>
      <c r="C154" s="299"/>
      <c r="D154" s="211"/>
      <c r="E154" s="294"/>
      <c r="F154" s="294"/>
      <c r="G154" s="211"/>
      <c r="H154" s="211"/>
      <c r="I154" s="211"/>
      <c r="J154" s="204"/>
    </row>
    <row r="155" spans="1:10" x14ac:dyDescent="0.25">
      <c r="A155" s="325">
        <f>IF(Info!$J$3&gt;0,Info!$J$3+B155, )</f>
        <v>0</v>
      </c>
      <c r="B155" s="215">
        <v>135</v>
      </c>
      <c r="C155" s="300"/>
      <c r="D155" s="211"/>
      <c r="E155" s="294"/>
      <c r="F155" s="294"/>
      <c r="G155" s="211"/>
      <c r="H155" s="211"/>
      <c r="I155" s="211"/>
      <c r="J155" s="205"/>
    </row>
    <row r="156" spans="1:10" x14ac:dyDescent="0.25">
      <c r="A156" s="325">
        <f>IF(Info!$J$3&gt;0,Info!$J$3+B156, )</f>
        <v>0</v>
      </c>
      <c r="B156" s="215">
        <v>136</v>
      </c>
      <c r="C156" s="299"/>
      <c r="D156" s="211"/>
      <c r="E156" s="294"/>
      <c r="F156" s="294"/>
      <c r="G156" s="211"/>
      <c r="H156" s="211"/>
      <c r="I156" s="211"/>
      <c r="J156" s="205"/>
    </row>
    <row r="157" spans="1:10" x14ac:dyDescent="0.25">
      <c r="A157" s="325">
        <f>IF(Info!$J$3&gt;0,Info!$J$3+B157, )</f>
        <v>0</v>
      </c>
      <c r="B157" s="215">
        <v>137</v>
      </c>
      <c r="C157" s="299"/>
      <c r="D157" s="211"/>
      <c r="E157" s="294"/>
      <c r="F157" s="294"/>
      <c r="G157" s="211"/>
      <c r="H157" s="211"/>
      <c r="I157" s="211"/>
      <c r="J157" s="205"/>
    </row>
    <row r="158" spans="1:10" x14ac:dyDescent="0.25">
      <c r="A158" s="325">
        <f>IF(Info!$J$3&gt;0,Info!$J$3+B158, )</f>
        <v>0</v>
      </c>
      <c r="B158" s="215">
        <v>138</v>
      </c>
      <c r="C158" s="300"/>
      <c r="D158" s="211"/>
      <c r="E158" s="294"/>
      <c r="F158" s="294"/>
      <c r="G158" s="211"/>
      <c r="H158" s="211"/>
      <c r="I158" s="211"/>
      <c r="J158" s="205"/>
    </row>
    <row r="159" spans="1:10" x14ac:dyDescent="0.25">
      <c r="A159" s="325">
        <f>IF(Info!$J$3&gt;0,Info!$J$3+B159, )</f>
        <v>0</v>
      </c>
      <c r="B159" s="215">
        <v>139</v>
      </c>
      <c r="C159" s="299"/>
      <c r="D159" s="211"/>
      <c r="E159" s="294"/>
      <c r="F159" s="294"/>
      <c r="G159" s="211"/>
      <c r="H159" s="211"/>
      <c r="I159" s="211"/>
      <c r="J159" s="205"/>
    </row>
    <row r="160" spans="1:10" x14ac:dyDescent="0.25">
      <c r="A160" s="325">
        <f>IF(Info!$J$3&gt;0,Info!$J$3+B160, )</f>
        <v>0</v>
      </c>
      <c r="B160" s="215">
        <v>140</v>
      </c>
      <c r="C160" s="299"/>
      <c r="D160" s="211"/>
      <c r="E160" s="294"/>
      <c r="F160" s="294"/>
      <c r="G160" s="211"/>
      <c r="H160" s="211"/>
      <c r="I160" s="211"/>
      <c r="J160" s="206"/>
    </row>
    <row r="161" spans="1:10" x14ac:dyDescent="0.25">
      <c r="A161" s="326">
        <f>A160</f>
        <v>0</v>
      </c>
      <c r="B161" s="207" t="str">
        <f>Traducción!$B$24&amp;" 20"</f>
        <v>Sem. 20</v>
      </c>
      <c r="C161" s="301">
        <f>SUM(C154:C160)</f>
        <v>0</v>
      </c>
      <c r="D161" s="288">
        <f t="shared" ref="D161" si="51">IFERROR(AVERAGE(D154:D160), )</f>
        <v>0</v>
      </c>
      <c r="E161" s="296">
        <f t="shared" ref="E161" si="52">SUM(E154:E160)</f>
        <v>0</v>
      </c>
      <c r="F161" s="296">
        <f t="shared" ref="F161" si="53">SUM(F154:F160)</f>
        <v>0</v>
      </c>
      <c r="G161" s="288">
        <f t="shared" ref="G161" si="54">IFERROR(AVERAGE(G154:G160), )</f>
        <v>0</v>
      </c>
      <c r="H161" s="210">
        <f t="shared" ref="H161" si="55">IFERROR(AVERAGE(H154:H160), )</f>
        <v>0</v>
      </c>
      <c r="I161" s="210">
        <f t="shared" ref="I161" si="56">IFERROR(AVERAGE(I154:I160), )</f>
        <v>0</v>
      </c>
      <c r="J161" s="202"/>
    </row>
  </sheetData>
  <sheetProtection password="EA71" sheet="1"/>
  <printOptions horizontalCentered="1"/>
  <pageMargins left="0.74803149606299213" right="0.78740157480314965" top="0.98425196850393704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</oddHeader>
    <oddFooter xml:space="preserve">&amp;Lltzaf0915&amp;R&amp;12&amp;F, &amp;D&amp;10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2"/>
  <sheetViews>
    <sheetView zoomScaleNormal="100" workbookViewId="0">
      <pane xSplit="2" ySplit="2" topLeftCell="C3" activePane="bottomRight" state="frozen"/>
      <selection pane="topRight" activeCell="C1" sqref="C1"/>
      <selection pane="bottomLeft" activeCell="A11" sqref="A11"/>
      <selection pane="bottomRight" activeCell="C3" sqref="C3"/>
    </sheetView>
  </sheetViews>
  <sheetFormatPr baseColWidth="10" defaultColWidth="11.44140625" defaultRowHeight="13.2" x14ac:dyDescent="0.25"/>
  <cols>
    <col min="1" max="1" width="11.6640625" style="322" customWidth="1"/>
    <col min="2" max="2" width="9.33203125" style="161" customWidth="1"/>
    <col min="3" max="3" width="10.44140625" style="160" customWidth="1"/>
    <col min="4" max="4" width="10.44140625" style="161" customWidth="1"/>
    <col min="5" max="5" width="10.44140625" style="163" customWidth="1"/>
    <col min="6" max="8" width="10.44140625" style="161" customWidth="1"/>
    <col min="9" max="9" width="10.44140625" style="162" customWidth="1"/>
    <col min="10" max="12" width="10.44140625" style="160" customWidth="1"/>
    <col min="13" max="13" width="43.5546875" style="160" customWidth="1"/>
    <col min="14" max="16384" width="11.44140625" style="160"/>
  </cols>
  <sheetData>
    <row r="1" spans="1:14" x14ac:dyDescent="0.25">
      <c r="B1" s="160"/>
      <c r="C1" s="164" t="str">
        <f>Traducción!B19</f>
        <v>Alternativa</v>
      </c>
      <c r="D1" s="164"/>
      <c r="F1" s="400" t="str">
        <f>Traducción!B19</f>
        <v>Alternativa</v>
      </c>
      <c r="G1" s="400"/>
      <c r="H1" s="400" t="str">
        <f>Traducción!B19</f>
        <v>Alternativa</v>
      </c>
      <c r="I1" s="401"/>
      <c r="J1" s="161"/>
      <c r="K1" s="162"/>
    </row>
    <row r="2" spans="1:14" s="166" customFormat="1" ht="39.6" x14ac:dyDescent="0.25">
      <c r="A2" s="321" t="str">
        <f>Traducción!B20</f>
        <v>Fecha</v>
      </c>
      <c r="B2" s="213" t="str">
        <f>Traducción!B22</f>
        <v>Sem.   de vida</v>
      </c>
      <c r="C2" s="337" t="str">
        <f>Traducción!B25</f>
        <v>No. de Pollitas Muertas</v>
      </c>
      <c r="D2" s="337" t="str">
        <f>Traducción!B27</f>
        <v>% Mort. / Sem.</v>
      </c>
      <c r="E2" s="338" t="str">
        <f>Traducción!B28</f>
        <v>Peso Corporal (g)</v>
      </c>
      <c r="F2" s="339" t="str">
        <f>Traducción!B30</f>
        <v>Consumo de Pienso (kg/sem.)</v>
      </c>
      <c r="G2" s="339" t="str">
        <f>Traducción!B31</f>
        <v>Consumo de Alimento (g/ave/d)</v>
      </c>
      <c r="H2" s="339" t="str">
        <f>Traducción!B33</f>
        <v>Consumo de Agua (l/sem.)</v>
      </c>
      <c r="I2" s="339" t="str">
        <f>Traducción!B34</f>
        <v>Consumo de Agua (ml/ave/d)</v>
      </c>
      <c r="J2" s="340" t="str">
        <f>Traducción!B35</f>
        <v>Uniform.  (%)</v>
      </c>
      <c r="K2" s="165" t="str">
        <f>'Entrada Recría (diario)'!H1</f>
        <v>Otro parám.</v>
      </c>
      <c r="L2" s="165" t="str">
        <f>'Entrada Recría (diario)'!I1</f>
        <v>Otro parám.</v>
      </c>
      <c r="M2" s="337" t="str">
        <f>Traducción!B15</f>
        <v>Observaciones:</v>
      </c>
      <c r="N2" s="38" t="s">
        <v>11</v>
      </c>
    </row>
    <row r="3" spans="1:14" s="166" customFormat="1" ht="13.5" customHeight="1" x14ac:dyDescent="0.25">
      <c r="A3" s="216">
        <f>'Entrada Recría (diario)'!$A$9</f>
        <v>0</v>
      </c>
      <c r="B3" s="215">
        <v>1</v>
      </c>
      <c r="C3" s="222">
        <f>'Entrada Recría (diario)'!$C$9</f>
        <v>0</v>
      </c>
      <c r="D3" s="39"/>
      <c r="E3" s="327">
        <f>'Entrada Recría (diario)'!$D$9</f>
        <v>0</v>
      </c>
      <c r="F3" s="220">
        <f>'Entrada Recría (diario)'!$E$9</f>
        <v>0</v>
      </c>
      <c r="G3" s="39"/>
      <c r="H3" s="220">
        <f>'Entrada Recría (diario)'!$F$9</f>
        <v>0</v>
      </c>
      <c r="I3" s="39"/>
      <c r="J3" s="327">
        <f>'Entrada Recría (diario)'!$G$9</f>
        <v>0</v>
      </c>
      <c r="K3" s="327">
        <f>'Entrada Recría (diario)'!$H$9</f>
        <v>0</v>
      </c>
      <c r="L3" s="327">
        <f>'Entrada Recría (diario)'!$I$9</f>
        <v>0</v>
      </c>
      <c r="M3" s="179"/>
      <c r="N3" s="38">
        <v>7</v>
      </c>
    </row>
    <row r="4" spans="1:14" s="167" customFormat="1" ht="13.5" customHeight="1" x14ac:dyDescent="0.25">
      <c r="A4" s="216">
        <f>'Entrada Recría (diario)'!$A$17</f>
        <v>0</v>
      </c>
      <c r="B4" s="226">
        <v>2</v>
      </c>
      <c r="C4" s="222">
        <f>'Entrada Recría (diario)'!$C$17</f>
        <v>0</v>
      </c>
      <c r="D4" s="39"/>
      <c r="E4" s="327">
        <f>'Entrada Recría (diario)'!$D$17</f>
        <v>0</v>
      </c>
      <c r="F4" s="220">
        <f>'Entrada Recría (diario)'!$E$17</f>
        <v>0</v>
      </c>
      <c r="G4" s="39"/>
      <c r="H4" s="220">
        <f>'Entrada Recría (diario)'!$F$17</f>
        <v>0</v>
      </c>
      <c r="I4" s="39"/>
      <c r="J4" s="327">
        <f>'Entrada Recría (diario)'!$G$17</f>
        <v>0</v>
      </c>
      <c r="K4" s="327">
        <f>'Entrada Recría (diario)'!$H$17</f>
        <v>0</v>
      </c>
      <c r="L4" s="327">
        <f>'Entrada Recría (diario)'!$I$17</f>
        <v>0</v>
      </c>
      <c r="M4" s="179"/>
      <c r="N4" s="47">
        <v>14</v>
      </c>
    </row>
    <row r="5" spans="1:14" s="167" customFormat="1" x14ac:dyDescent="0.25">
      <c r="A5" s="216">
        <f>'Entrada Recría (diario)'!$A$25</f>
        <v>0</v>
      </c>
      <c r="B5" s="226">
        <v>3</v>
      </c>
      <c r="C5" s="222">
        <f>'Entrada Recría (diario)'!$C$25</f>
        <v>0</v>
      </c>
      <c r="D5" s="39"/>
      <c r="E5" s="327">
        <f>'Entrada Recría (diario)'!$D$25</f>
        <v>0</v>
      </c>
      <c r="F5" s="220">
        <f>'Entrada Recría (diario)'!$E$25</f>
        <v>0</v>
      </c>
      <c r="G5" s="39"/>
      <c r="H5" s="220">
        <f>'Entrada Recría (diario)'!$F$25</f>
        <v>0</v>
      </c>
      <c r="I5" s="39"/>
      <c r="J5" s="327">
        <f>'Entrada Recría (diario)'!$G$25</f>
        <v>0</v>
      </c>
      <c r="K5" s="327">
        <f>'Entrada Recría (diario)'!$H$25</f>
        <v>0</v>
      </c>
      <c r="L5" s="327">
        <f>'Entrada Recría (diario)'!$I$25</f>
        <v>0</v>
      </c>
      <c r="M5" s="179"/>
      <c r="N5" s="47">
        <v>21</v>
      </c>
    </row>
    <row r="6" spans="1:14" s="167" customFormat="1" x14ac:dyDescent="0.25">
      <c r="A6" s="216">
        <f>'Entrada Recría (diario)'!$A$33</f>
        <v>0</v>
      </c>
      <c r="B6" s="226">
        <v>4</v>
      </c>
      <c r="C6" s="222">
        <f>'Entrada Recría (diario)'!$C$33</f>
        <v>0</v>
      </c>
      <c r="D6" s="39"/>
      <c r="E6" s="327">
        <f>'Entrada Recría (diario)'!$D$33</f>
        <v>0</v>
      </c>
      <c r="F6" s="220">
        <f>'Entrada Recría (diario)'!$E$33</f>
        <v>0</v>
      </c>
      <c r="G6" s="39"/>
      <c r="H6" s="220">
        <f>'Entrada Recría (diario)'!$F$33</f>
        <v>0</v>
      </c>
      <c r="I6" s="39"/>
      <c r="J6" s="327">
        <f>'Entrada Recría (diario)'!$G$33</f>
        <v>0</v>
      </c>
      <c r="K6" s="327">
        <f>'Entrada Recría (diario)'!$H$33</f>
        <v>0</v>
      </c>
      <c r="L6" s="327">
        <f>'Entrada Recría (diario)'!$I$33</f>
        <v>0</v>
      </c>
      <c r="M6" s="179"/>
      <c r="N6" s="47">
        <v>28</v>
      </c>
    </row>
    <row r="7" spans="1:14" s="167" customFormat="1" x14ac:dyDescent="0.25">
      <c r="A7" s="216">
        <f>'Entrada Recría (diario)'!$A$41</f>
        <v>0</v>
      </c>
      <c r="B7" s="226">
        <v>5</v>
      </c>
      <c r="C7" s="222">
        <f>'Entrada Recría (diario)'!$C$41</f>
        <v>0</v>
      </c>
      <c r="D7" s="39"/>
      <c r="E7" s="327">
        <f>'Entrada Recría (diario)'!$D$41</f>
        <v>0</v>
      </c>
      <c r="F7" s="220">
        <f>'Entrada Recría (diario)'!$E$41</f>
        <v>0</v>
      </c>
      <c r="G7" s="39"/>
      <c r="H7" s="220">
        <f>'Entrada Recría (diario)'!$F$41</f>
        <v>0</v>
      </c>
      <c r="I7" s="39"/>
      <c r="J7" s="327">
        <f>'Entrada Recría (diario)'!$G$41</f>
        <v>0</v>
      </c>
      <c r="K7" s="327">
        <f>'Entrada Recría (diario)'!$H$41</f>
        <v>0</v>
      </c>
      <c r="L7" s="327">
        <f>'Entrada Recría (diario)'!$I$41</f>
        <v>0</v>
      </c>
      <c r="M7" s="179"/>
      <c r="N7" s="47">
        <v>35</v>
      </c>
    </row>
    <row r="8" spans="1:14" s="167" customFormat="1" x14ac:dyDescent="0.25">
      <c r="A8" s="216">
        <f>'Entrada Recría (diario)'!$A$49</f>
        <v>0</v>
      </c>
      <c r="B8" s="226">
        <v>6</v>
      </c>
      <c r="C8" s="222">
        <f>'Entrada Recría (diario)'!$C$49</f>
        <v>0</v>
      </c>
      <c r="D8" s="39"/>
      <c r="E8" s="327">
        <f>'Entrada Recría (diario)'!$D$49</f>
        <v>0</v>
      </c>
      <c r="F8" s="220">
        <f>'Entrada Recría (diario)'!$E$49</f>
        <v>0</v>
      </c>
      <c r="G8" s="39"/>
      <c r="H8" s="220">
        <f>'Entrada Recría (diario)'!$F$49</f>
        <v>0</v>
      </c>
      <c r="I8" s="39"/>
      <c r="J8" s="327">
        <f>'Entrada Recría (diario)'!$G$49</f>
        <v>0</v>
      </c>
      <c r="K8" s="327">
        <f>'Entrada Recría (diario)'!$H$49</f>
        <v>0</v>
      </c>
      <c r="L8" s="327">
        <f>'Entrada Recría (diario)'!$I$49</f>
        <v>0</v>
      </c>
      <c r="M8" s="179"/>
      <c r="N8" s="47">
        <v>42</v>
      </c>
    </row>
    <row r="9" spans="1:14" x14ac:dyDescent="0.25">
      <c r="A9" s="216">
        <f>'Entrada Recría (diario)'!$A$57</f>
        <v>0</v>
      </c>
      <c r="B9" s="226">
        <v>7</v>
      </c>
      <c r="C9" s="222">
        <f>'Entrada Recría (diario)'!$C$57</f>
        <v>0</v>
      </c>
      <c r="D9" s="39"/>
      <c r="E9" s="327">
        <f>'Entrada Recría (diario)'!$D$57</f>
        <v>0</v>
      </c>
      <c r="F9" s="220">
        <f>'Entrada Recría (diario)'!$E$57</f>
        <v>0</v>
      </c>
      <c r="G9" s="39"/>
      <c r="H9" s="220">
        <f>'Entrada Recría (diario)'!$F$57</f>
        <v>0</v>
      </c>
      <c r="I9" s="39"/>
      <c r="J9" s="327">
        <f>'Entrada Recría (diario)'!$G$57</f>
        <v>0</v>
      </c>
      <c r="K9" s="327">
        <f>'Entrada Recría (diario)'!$H$57</f>
        <v>0</v>
      </c>
      <c r="L9" s="327">
        <f>'Entrada Recría (diario)'!$I$57</f>
        <v>0</v>
      </c>
      <c r="M9" s="179"/>
      <c r="N9" s="47">
        <v>49</v>
      </c>
    </row>
    <row r="10" spans="1:14" x14ac:dyDescent="0.25">
      <c r="A10" s="216">
        <f>'Entrada Recría (diario)'!$A$65</f>
        <v>0</v>
      </c>
      <c r="B10" s="226">
        <v>8</v>
      </c>
      <c r="C10" s="222">
        <f>'Entrada Recría (diario)'!$C$65</f>
        <v>0</v>
      </c>
      <c r="D10" s="39"/>
      <c r="E10" s="327">
        <f>'Entrada Recría (diario)'!$D$65</f>
        <v>0</v>
      </c>
      <c r="F10" s="220">
        <f>'Entrada Recría (diario)'!$E$65</f>
        <v>0</v>
      </c>
      <c r="G10" s="39"/>
      <c r="H10" s="220">
        <f>'Entrada Recría (diario)'!$F$65</f>
        <v>0</v>
      </c>
      <c r="I10" s="39"/>
      <c r="J10" s="327">
        <f>'Entrada Recría (diario)'!$G$65</f>
        <v>0</v>
      </c>
      <c r="K10" s="327">
        <f>'Entrada Recría (diario)'!$H$65</f>
        <v>0</v>
      </c>
      <c r="L10" s="327">
        <f>'Entrada Recría (diario)'!$I$65</f>
        <v>0</v>
      </c>
      <c r="M10" s="179"/>
      <c r="N10" s="47">
        <v>56</v>
      </c>
    </row>
    <row r="11" spans="1:14" x14ac:dyDescent="0.25">
      <c r="A11" s="216">
        <f>'Entrada Recría (diario)'!$A$73</f>
        <v>0</v>
      </c>
      <c r="B11" s="226">
        <v>9</v>
      </c>
      <c r="C11" s="222">
        <f>'Entrada Recría (diario)'!$C$73</f>
        <v>0</v>
      </c>
      <c r="D11" s="39"/>
      <c r="E11" s="327">
        <f>'Entrada Recría (diario)'!$D$73</f>
        <v>0</v>
      </c>
      <c r="F11" s="220">
        <f>'Entrada Recría (diario)'!$E$73</f>
        <v>0</v>
      </c>
      <c r="G11" s="39"/>
      <c r="H11" s="220">
        <f>'Entrada Recría (diario)'!$F$73</f>
        <v>0</v>
      </c>
      <c r="I11" s="39"/>
      <c r="J11" s="327">
        <f>'Entrada Recría (diario)'!$G$73</f>
        <v>0</v>
      </c>
      <c r="K11" s="327">
        <f>'Entrada Recría (diario)'!$H$73</f>
        <v>0</v>
      </c>
      <c r="L11" s="327">
        <f>'Entrada Recría (diario)'!$I$73</f>
        <v>0</v>
      </c>
      <c r="M11" s="179"/>
      <c r="N11" s="47">
        <v>63</v>
      </c>
    </row>
    <row r="12" spans="1:14" x14ac:dyDescent="0.25">
      <c r="A12" s="216">
        <f>'Entrada Recría (diario)'!$A$81</f>
        <v>0</v>
      </c>
      <c r="B12" s="226">
        <v>10</v>
      </c>
      <c r="C12" s="222">
        <f>'Entrada Recría (diario)'!$C$81</f>
        <v>0</v>
      </c>
      <c r="D12" s="39"/>
      <c r="E12" s="327">
        <f>'Entrada Recría (diario)'!$D$81</f>
        <v>0</v>
      </c>
      <c r="F12" s="220">
        <f>'Entrada Recría (diario)'!$E$81</f>
        <v>0</v>
      </c>
      <c r="G12" s="39"/>
      <c r="H12" s="220">
        <f>'Entrada Recría (diario)'!$F$81</f>
        <v>0</v>
      </c>
      <c r="I12" s="39"/>
      <c r="J12" s="327">
        <f>'Entrada Recría (diario)'!$G$81</f>
        <v>0</v>
      </c>
      <c r="K12" s="327">
        <f>'Entrada Recría (diario)'!$H$81</f>
        <v>0</v>
      </c>
      <c r="L12" s="327">
        <f>'Entrada Recría (diario)'!$I$81</f>
        <v>0</v>
      </c>
      <c r="M12" s="179"/>
      <c r="N12" s="47">
        <v>70</v>
      </c>
    </row>
    <row r="13" spans="1:14" x14ac:dyDescent="0.25">
      <c r="A13" s="216">
        <f>'Entrada Recría (diario)'!$A$89</f>
        <v>0</v>
      </c>
      <c r="B13" s="226">
        <v>11</v>
      </c>
      <c r="C13" s="222">
        <f>'Entrada Recría (diario)'!$C$89</f>
        <v>0</v>
      </c>
      <c r="D13" s="39"/>
      <c r="E13" s="327">
        <f>'Entrada Recría (diario)'!$D$89</f>
        <v>0</v>
      </c>
      <c r="F13" s="220">
        <f>'Entrada Recría (diario)'!$E$89</f>
        <v>0</v>
      </c>
      <c r="G13" s="39"/>
      <c r="H13" s="220">
        <f>'Entrada Recría (diario)'!$F$89</f>
        <v>0</v>
      </c>
      <c r="I13" s="39"/>
      <c r="J13" s="327">
        <f>'Entrada Recría (diario)'!$G$89</f>
        <v>0</v>
      </c>
      <c r="K13" s="327">
        <f>'Entrada Recría (diario)'!$H$89</f>
        <v>0</v>
      </c>
      <c r="L13" s="327">
        <f>'Entrada Recría (diario)'!$I$89</f>
        <v>0</v>
      </c>
      <c r="M13" s="179"/>
      <c r="N13" s="47">
        <v>77</v>
      </c>
    </row>
    <row r="14" spans="1:14" x14ac:dyDescent="0.25">
      <c r="A14" s="216">
        <f>'Entrada Recría (diario)'!$A$97</f>
        <v>0</v>
      </c>
      <c r="B14" s="226">
        <v>12</v>
      </c>
      <c r="C14" s="222">
        <f>'Entrada Recría (diario)'!$C$97</f>
        <v>0</v>
      </c>
      <c r="D14" s="39"/>
      <c r="E14" s="327">
        <f>'Entrada Recría (diario)'!$D$97</f>
        <v>0</v>
      </c>
      <c r="F14" s="220">
        <f>'Entrada Recría (diario)'!$E$97</f>
        <v>0</v>
      </c>
      <c r="G14" s="39"/>
      <c r="H14" s="220">
        <f>'Entrada Recría (diario)'!$F$97</f>
        <v>0</v>
      </c>
      <c r="I14" s="39"/>
      <c r="J14" s="327">
        <f>'Entrada Recría (diario)'!$G$97</f>
        <v>0</v>
      </c>
      <c r="K14" s="327">
        <f>'Entrada Recría (diario)'!$H$97</f>
        <v>0</v>
      </c>
      <c r="L14" s="327">
        <f>'Entrada Recría (diario)'!$I$97</f>
        <v>0</v>
      </c>
      <c r="M14" s="179"/>
      <c r="N14" s="47">
        <v>84</v>
      </c>
    </row>
    <row r="15" spans="1:14" x14ac:dyDescent="0.25">
      <c r="A15" s="216">
        <f>'Entrada Recría (diario)'!$A$105</f>
        <v>0</v>
      </c>
      <c r="B15" s="226">
        <v>13</v>
      </c>
      <c r="C15" s="222">
        <f>'Entrada Recría (diario)'!$C$105</f>
        <v>0</v>
      </c>
      <c r="D15" s="39"/>
      <c r="E15" s="327">
        <f>'Entrada Recría (diario)'!$D$105</f>
        <v>0</v>
      </c>
      <c r="F15" s="220">
        <f>'Entrada Recría (diario)'!$E$105</f>
        <v>0</v>
      </c>
      <c r="G15" s="39"/>
      <c r="H15" s="220">
        <f>'Entrada Recría (diario)'!$F$105</f>
        <v>0</v>
      </c>
      <c r="I15" s="39"/>
      <c r="J15" s="327">
        <f>'Entrada Recría (diario)'!$G$105</f>
        <v>0</v>
      </c>
      <c r="K15" s="327">
        <f>'Entrada Recría (diario)'!$H$105</f>
        <v>0</v>
      </c>
      <c r="L15" s="327">
        <f>'Entrada Recría (diario)'!$I$105</f>
        <v>0</v>
      </c>
      <c r="M15" s="179"/>
      <c r="N15" s="47">
        <v>91</v>
      </c>
    </row>
    <row r="16" spans="1:14" x14ac:dyDescent="0.25">
      <c r="A16" s="216">
        <f>'Entrada Recría (diario)'!$A$113</f>
        <v>0</v>
      </c>
      <c r="B16" s="226">
        <v>14</v>
      </c>
      <c r="C16" s="222">
        <f>'Entrada Recría (diario)'!$C$113</f>
        <v>0</v>
      </c>
      <c r="D16" s="39"/>
      <c r="E16" s="327">
        <f>'Entrada Recría (diario)'!$D$113</f>
        <v>0</v>
      </c>
      <c r="F16" s="220">
        <f>'Entrada Recría (diario)'!$E$113</f>
        <v>0</v>
      </c>
      <c r="G16" s="39"/>
      <c r="H16" s="220">
        <f>'Entrada Recría (diario)'!$F$113</f>
        <v>0</v>
      </c>
      <c r="I16" s="39"/>
      <c r="J16" s="327">
        <f>'Entrada Recría (diario)'!$G$113</f>
        <v>0</v>
      </c>
      <c r="K16" s="327">
        <f>'Entrada Recría (diario)'!$H$113</f>
        <v>0</v>
      </c>
      <c r="L16" s="327">
        <f>'Entrada Recría (diario)'!$I$113</f>
        <v>0</v>
      </c>
      <c r="M16" s="179"/>
      <c r="N16" s="47">
        <v>98</v>
      </c>
    </row>
    <row r="17" spans="1:14" x14ac:dyDescent="0.25">
      <c r="A17" s="216">
        <f>'Entrada Recría (diario)'!$A$121</f>
        <v>0</v>
      </c>
      <c r="B17" s="226">
        <v>15</v>
      </c>
      <c r="C17" s="222">
        <f>'Entrada Recría (diario)'!$C$121</f>
        <v>0</v>
      </c>
      <c r="D17" s="39"/>
      <c r="E17" s="327">
        <f>'Entrada Recría (diario)'!$D$121</f>
        <v>0</v>
      </c>
      <c r="F17" s="220">
        <f>'Entrada Recría (diario)'!$E$121</f>
        <v>0</v>
      </c>
      <c r="G17" s="39"/>
      <c r="H17" s="220">
        <f>'Entrada Recría (diario)'!$F$121</f>
        <v>0</v>
      </c>
      <c r="I17" s="39"/>
      <c r="J17" s="327">
        <f>'Entrada Recría (diario)'!$G$121</f>
        <v>0</v>
      </c>
      <c r="K17" s="327">
        <f>'Entrada Recría (diario)'!$H$121</f>
        <v>0</v>
      </c>
      <c r="L17" s="327">
        <f>'Entrada Recría (diario)'!$I$121</f>
        <v>0</v>
      </c>
      <c r="M17" s="179"/>
      <c r="N17" s="47">
        <v>105</v>
      </c>
    </row>
    <row r="18" spans="1:14" x14ac:dyDescent="0.25">
      <c r="A18" s="216">
        <f>'Entrada Recría (diario)'!$A$129</f>
        <v>0</v>
      </c>
      <c r="B18" s="226">
        <v>16</v>
      </c>
      <c r="C18" s="222">
        <f>'Entrada Recría (diario)'!$C$129</f>
        <v>0</v>
      </c>
      <c r="D18" s="39"/>
      <c r="E18" s="327">
        <f>'Entrada Recría (diario)'!$D$129</f>
        <v>0</v>
      </c>
      <c r="F18" s="220">
        <f>'Entrada Recría (diario)'!$E$129</f>
        <v>0</v>
      </c>
      <c r="G18" s="39"/>
      <c r="H18" s="220">
        <f>'Entrada Recría (diario)'!$F$129</f>
        <v>0</v>
      </c>
      <c r="I18" s="39"/>
      <c r="J18" s="327">
        <f>'Entrada Recría (diario)'!$G$129</f>
        <v>0</v>
      </c>
      <c r="K18" s="327">
        <f>'Entrada Recría (diario)'!$H$129</f>
        <v>0</v>
      </c>
      <c r="L18" s="327">
        <f>'Entrada Recría (diario)'!$I$129</f>
        <v>0</v>
      </c>
      <c r="M18" s="179"/>
      <c r="N18" s="47">
        <v>112</v>
      </c>
    </row>
    <row r="19" spans="1:14" x14ac:dyDescent="0.25">
      <c r="A19" s="216">
        <f>'Entrada Recría (diario)'!$A$137</f>
        <v>0</v>
      </c>
      <c r="B19" s="226">
        <v>17</v>
      </c>
      <c r="C19" s="222">
        <f>'Entrada Recría (diario)'!$C$137</f>
        <v>0</v>
      </c>
      <c r="D19" s="39"/>
      <c r="E19" s="327">
        <f>'Entrada Recría (diario)'!$D$137</f>
        <v>0</v>
      </c>
      <c r="F19" s="220">
        <f>'Entrada Recría (diario)'!$E$137</f>
        <v>0</v>
      </c>
      <c r="G19" s="39"/>
      <c r="H19" s="220">
        <f>'Entrada Recría (diario)'!$F$137</f>
        <v>0</v>
      </c>
      <c r="I19" s="39"/>
      <c r="J19" s="327">
        <f>'Entrada Recría (diario)'!$G$137</f>
        <v>0</v>
      </c>
      <c r="K19" s="327">
        <f>'Entrada Recría (diario)'!$H$137</f>
        <v>0</v>
      </c>
      <c r="L19" s="327">
        <f>'Entrada Recría (diario)'!$I$137</f>
        <v>0</v>
      </c>
      <c r="M19" s="179"/>
      <c r="N19" s="47">
        <v>119</v>
      </c>
    </row>
    <row r="20" spans="1:14" x14ac:dyDescent="0.25">
      <c r="A20" s="216">
        <f>'Entrada Recría (diario)'!$A$145</f>
        <v>0</v>
      </c>
      <c r="B20" s="226">
        <v>18</v>
      </c>
      <c r="C20" s="222">
        <f>'Entrada Recría (diario)'!$C$145</f>
        <v>0</v>
      </c>
      <c r="D20" s="39"/>
      <c r="E20" s="327">
        <f>'Entrada Recría (diario)'!$D$145</f>
        <v>0</v>
      </c>
      <c r="F20" s="220">
        <f>'Entrada Recría (diario)'!$E$145</f>
        <v>0</v>
      </c>
      <c r="G20" s="39"/>
      <c r="H20" s="220">
        <f>'Entrada Recría (diario)'!$F$145</f>
        <v>0</v>
      </c>
      <c r="I20" s="39"/>
      <c r="J20" s="327">
        <f>'Entrada Recría (diario)'!$G$145</f>
        <v>0</v>
      </c>
      <c r="K20" s="327">
        <f>'Entrada Recría (diario)'!$H$145</f>
        <v>0</v>
      </c>
      <c r="L20" s="327">
        <f>'Entrada Recría (diario)'!$I$145</f>
        <v>0</v>
      </c>
      <c r="M20" s="179"/>
      <c r="N20" s="47">
        <v>126</v>
      </c>
    </row>
    <row r="21" spans="1:14" x14ac:dyDescent="0.25">
      <c r="A21" s="216">
        <f>'Entrada Recría (diario)'!$A$153</f>
        <v>0</v>
      </c>
      <c r="B21" s="226">
        <v>19</v>
      </c>
      <c r="C21" s="222">
        <f>'Entrada Recría (diario)'!$C$153</f>
        <v>0</v>
      </c>
      <c r="D21" s="39"/>
      <c r="E21" s="327">
        <f>'Entrada Recría (diario)'!$D$153</f>
        <v>0</v>
      </c>
      <c r="F21" s="220">
        <f>'Entrada Recría (diario)'!$E$153</f>
        <v>0</v>
      </c>
      <c r="G21" s="39"/>
      <c r="H21" s="220">
        <f>'Entrada Recría (diario)'!$F$153</f>
        <v>0</v>
      </c>
      <c r="I21" s="39"/>
      <c r="J21" s="327">
        <f>'Entrada Recría (diario)'!$G$153</f>
        <v>0</v>
      </c>
      <c r="K21" s="327">
        <f>'Entrada Recría (diario)'!$H$153</f>
        <v>0</v>
      </c>
      <c r="L21" s="327">
        <f>'Entrada Recría (diario)'!$I$153</f>
        <v>0</v>
      </c>
      <c r="M21" s="179"/>
      <c r="N21" s="47">
        <v>133</v>
      </c>
    </row>
    <row r="22" spans="1:14" s="219" customFormat="1" x14ac:dyDescent="0.25">
      <c r="A22" s="217">
        <f>'Entrada Recría (diario)'!$A$161</f>
        <v>0</v>
      </c>
      <c r="B22" s="341">
        <v>20</v>
      </c>
      <c r="C22" s="223">
        <f>'Entrada Recría (diario)'!$C$161</f>
        <v>0</v>
      </c>
      <c r="D22" s="40"/>
      <c r="E22" s="328">
        <f>'Entrada Recría (diario)'!$D$161</f>
        <v>0</v>
      </c>
      <c r="F22" s="221">
        <f>'Entrada Recría (diario)'!$E$161</f>
        <v>0</v>
      </c>
      <c r="G22" s="40"/>
      <c r="H22" s="221">
        <f>'Entrada Recría (diario)'!$F$161</f>
        <v>0</v>
      </c>
      <c r="I22" s="40"/>
      <c r="J22" s="328">
        <f>'Entrada Recría (diario)'!$G$161</f>
        <v>0</v>
      </c>
      <c r="K22" s="328">
        <f>'Entrada Recría (diario)'!$H$161</f>
        <v>0</v>
      </c>
      <c r="L22" s="328">
        <f>'Entrada Recría (diario)'!$I$161</f>
        <v>0</v>
      </c>
      <c r="M22" s="180"/>
      <c r="N22" s="218">
        <v>140</v>
      </c>
    </row>
  </sheetData>
  <sheetProtection password="EA71" sheet="1" objects="1" scenarios="1"/>
  <mergeCells count="2">
    <mergeCell ref="F1:G1"/>
    <mergeCell ref="H1:I1"/>
  </mergeCells>
  <conditionalFormatting sqref="E3:E22">
    <cfRule type="expression" dxfId="3" priority="4">
      <formula>ISERROR($E$3)</formula>
    </cfRule>
  </conditionalFormatting>
  <conditionalFormatting sqref="J3:J22">
    <cfRule type="expression" dxfId="2" priority="3">
      <formula>ISERROR($E$3)</formula>
    </cfRule>
  </conditionalFormatting>
  <conditionalFormatting sqref="K3:K22">
    <cfRule type="expression" dxfId="1" priority="2">
      <formula>ISERROR($E$3)</formula>
    </cfRule>
  </conditionalFormatting>
  <conditionalFormatting sqref="L3:L22">
    <cfRule type="expression" dxfId="0" priority="1">
      <formula>ISERROR($E$3)</formula>
    </cfRule>
  </conditionalFormatting>
  <printOptions horizontalCentered="1"/>
  <pageMargins left="0.74803149606299213" right="0.78740157480314965" top="0.98425196850393704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</oddHeader>
    <oddFooter xml:space="preserve">&amp;Lltzaf0915&amp;R&amp;12&amp;F, &amp;D&amp;10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49"/>
  <sheetViews>
    <sheetView tabSelected="1" zoomScaleNormal="100" workbookViewId="0">
      <pane xSplit="2" ySplit="1" topLeftCell="C74" activePane="bottomRight" state="frozen"/>
      <selection pane="topRight" activeCell="C1" sqref="C1"/>
      <selection pane="bottomLeft" activeCell="A11" sqref="A11"/>
      <selection pane="bottomRight" activeCell="C2" sqref="C2"/>
    </sheetView>
  </sheetViews>
  <sheetFormatPr baseColWidth="10" defaultColWidth="11.44140625" defaultRowHeight="13.2" x14ac:dyDescent="0.25"/>
  <cols>
    <col min="1" max="1" width="9.6640625" style="320" customWidth="1"/>
    <col min="2" max="2" width="8.88671875" style="2" customWidth="1"/>
    <col min="3" max="4" width="10.44140625" style="309" customWidth="1"/>
    <col min="5" max="5" width="10.44140625" style="310" customWidth="1"/>
    <col min="6" max="7" width="10.44140625" style="314" customWidth="1"/>
    <col min="8" max="9" width="10.44140625" style="318" customWidth="1"/>
    <col min="10" max="10" width="10.44140625" style="5" customWidth="1"/>
    <col min="11" max="11" width="25.88671875" style="5" customWidth="1"/>
    <col min="12" max="13" width="7.88671875" style="5" customWidth="1"/>
    <col min="14" max="16384" width="11.44140625" style="5"/>
  </cols>
  <sheetData>
    <row r="1" spans="1:12" ht="36" x14ac:dyDescent="0.25">
      <c r="A1" s="319" t="str">
        <f>Traducción!B20</f>
        <v>Fecha</v>
      </c>
      <c r="B1" s="227" t="str">
        <f>Traducción!B21</f>
        <v>Edad (días)</v>
      </c>
      <c r="C1" s="306" t="str">
        <f>Traducción!B26</f>
        <v>No. de Aves Muertas</v>
      </c>
      <c r="D1" s="306" t="str">
        <f>Traducción!B49</f>
        <v>No. Huevos</v>
      </c>
      <c r="E1" s="306" t="str">
        <f>Traducción!B50</f>
        <v>No. Huevos de 2a</v>
      </c>
      <c r="F1" s="311" t="str">
        <f>Traducción!B52</f>
        <v>Peso de Huevo (g)</v>
      </c>
      <c r="G1" s="311" t="str">
        <f>Traducción!B28</f>
        <v>Peso Corporal (g)</v>
      </c>
      <c r="H1" s="315" t="str">
        <f>Traducción!B29</f>
        <v>Consumo de Pienso (kg/d)</v>
      </c>
      <c r="I1" s="315" t="str">
        <f>Traducción!B32</f>
        <v>Consumo de Agua (l/d)</v>
      </c>
      <c r="J1" s="46" t="str">
        <f>Traducción!B36</f>
        <v>Otro parám.</v>
      </c>
      <c r="K1" s="228" t="str">
        <f>Traducción!B15</f>
        <v>Observaciones:</v>
      </c>
      <c r="L1" s="47" t="s">
        <v>11</v>
      </c>
    </row>
    <row r="2" spans="1:12" x14ac:dyDescent="0.25">
      <c r="A2" s="325">
        <f>IF(Info!$J$3&gt;0,Info!$J$3+B2, )</f>
        <v>0</v>
      </c>
      <c r="B2" s="381">
        <v>99</v>
      </c>
      <c r="C2" s="299"/>
      <c r="D2" s="299"/>
      <c r="E2" s="299"/>
      <c r="F2" s="211"/>
      <c r="G2" s="211"/>
      <c r="H2" s="294"/>
      <c r="I2" s="294"/>
      <c r="J2" s="208"/>
      <c r="K2" s="208"/>
      <c r="L2" s="47">
        <v>105</v>
      </c>
    </row>
    <row r="3" spans="1:12" x14ac:dyDescent="0.25">
      <c r="A3" s="325">
        <f>IF(Info!$J$3&gt;0,Info!$J$3+B3, )</f>
        <v>0</v>
      </c>
      <c r="B3" s="381">
        <v>100</v>
      </c>
      <c r="C3" s="299"/>
      <c r="D3" s="299"/>
      <c r="E3" s="299"/>
      <c r="F3" s="211"/>
      <c r="G3" s="211"/>
      <c r="H3" s="294"/>
      <c r="I3" s="294"/>
      <c r="J3" s="208"/>
      <c r="K3" s="208"/>
      <c r="L3" s="47">
        <v>112</v>
      </c>
    </row>
    <row r="4" spans="1:12" x14ac:dyDescent="0.25">
      <c r="A4" s="325">
        <f>IF(Info!$J$3&gt;0,Info!$J$3+B4, )</f>
        <v>0</v>
      </c>
      <c r="B4" s="381">
        <v>101</v>
      </c>
      <c r="C4" s="299"/>
      <c r="D4" s="299"/>
      <c r="E4" s="299"/>
      <c r="F4" s="211"/>
      <c r="G4" s="211"/>
      <c r="H4" s="294"/>
      <c r="I4" s="294"/>
      <c r="J4" s="208"/>
      <c r="K4" s="208"/>
      <c r="L4" s="47">
        <v>119</v>
      </c>
    </row>
    <row r="5" spans="1:12" x14ac:dyDescent="0.25">
      <c r="A5" s="325">
        <f>IF(Info!$J$3&gt;0,Info!$J$3+B5, )</f>
        <v>0</v>
      </c>
      <c r="B5" s="381">
        <v>102</v>
      </c>
      <c r="C5" s="299"/>
      <c r="D5" s="299"/>
      <c r="E5" s="299"/>
      <c r="F5" s="211"/>
      <c r="G5" s="211"/>
      <c r="H5" s="294"/>
      <c r="I5" s="294"/>
      <c r="J5" s="208"/>
      <c r="K5" s="208"/>
      <c r="L5" s="47">
        <v>126</v>
      </c>
    </row>
    <row r="6" spans="1:12" x14ac:dyDescent="0.25">
      <c r="A6" s="325">
        <f>IF(Info!$J$3&gt;0,Info!$J$3+B6, )</f>
        <v>0</v>
      </c>
      <c r="B6" s="381">
        <v>103</v>
      </c>
      <c r="C6" s="299"/>
      <c r="D6" s="299"/>
      <c r="E6" s="299"/>
      <c r="F6" s="211"/>
      <c r="G6" s="211"/>
      <c r="H6" s="294"/>
      <c r="I6" s="294"/>
      <c r="J6" s="208"/>
      <c r="K6" s="208"/>
      <c r="L6" s="47">
        <v>133</v>
      </c>
    </row>
    <row r="7" spans="1:12" x14ac:dyDescent="0.25">
      <c r="A7" s="325">
        <f>IF(Info!$J$3&gt;0,Info!$J$3+B7, )</f>
        <v>0</v>
      </c>
      <c r="B7" s="381">
        <v>104</v>
      </c>
      <c r="C7" s="299"/>
      <c r="D7" s="299"/>
      <c r="E7" s="299"/>
      <c r="F7" s="211"/>
      <c r="G7" s="211"/>
      <c r="H7" s="294"/>
      <c r="I7" s="294"/>
      <c r="J7" s="208"/>
      <c r="K7" s="208"/>
      <c r="L7" s="47">
        <v>140</v>
      </c>
    </row>
    <row r="8" spans="1:12" x14ac:dyDescent="0.25">
      <c r="A8" s="325">
        <f>IF(Info!$J$3&gt;0,Info!$J$3+B8, )</f>
        <v>0</v>
      </c>
      <c r="B8" s="381">
        <v>105</v>
      </c>
      <c r="C8" s="300"/>
      <c r="D8" s="300"/>
      <c r="E8" s="300"/>
      <c r="F8" s="212"/>
      <c r="G8" s="212"/>
      <c r="H8" s="295"/>
      <c r="I8" s="295"/>
      <c r="J8" s="209"/>
      <c r="K8" s="209"/>
      <c r="L8" s="47">
        <v>147</v>
      </c>
    </row>
    <row r="9" spans="1:12" x14ac:dyDescent="0.25">
      <c r="A9" s="326">
        <f>A8</f>
        <v>0</v>
      </c>
      <c r="B9" s="382" t="str">
        <f>Traducción!$B$24&amp;" 15"</f>
        <v>Sem. 15</v>
      </c>
      <c r="C9" s="307">
        <f t="shared" ref="C9:I9" si="0">SUM(C2:C8)</f>
        <v>0</v>
      </c>
      <c r="D9" s="307">
        <f t="shared" si="0"/>
        <v>0</v>
      </c>
      <c r="E9" s="307">
        <f t="shared" si="0"/>
        <v>0</v>
      </c>
      <c r="F9" s="312">
        <f>IFERROR(AVERAGE(F2:F8), )</f>
        <v>0</v>
      </c>
      <c r="G9" s="312">
        <f>IFERROR(AVERAGE(G2:G8), )</f>
        <v>0</v>
      </c>
      <c r="H9" s="316">
        <f t="shared" si="0"/>
        <v>0</v>
      </c>
      <c r="I9" s="316">
        <f t="shared" si="0"/>
        <v>0</v>
      </c>
      <c r="J9" s="329">
        <f>IFERROR(AVERAGE(J2:J8), )</f>
        <v>0</v>
      </c>
      <c r="K9" s="224"/>
      <c r="L9" s="47">
        <v>154</v>
      </c>
    </row>
    <row r="10" spans="1:12" x14ac:dyDescent="0.25">
      <c r="A10" s="325">
        <f>IF(Info!$J$3&gt;0,Info!$J$3+B10, )</f>
        <v>0</v>
      </c>
      <c r="B10" s="381">
        <v>106</v>
      </c>
      <c r="C10" s="308"/>
      <c r="D10" s="308"/>
      <c r="E10" s="308"/>
      <c r="F10" s="313"/>
      <c r="G10" s="313"/>
      <c r="H10" s="317"/>
      <c r="I10" s="317"/>
      <c r="J10" s="225"/>
      <c r="K10" s="225"/>
      <c r="L10" s="47">
        <v>161</v>
      </c>
    </row>
    <row r="11" spans="1:12" x14ac:dyDescent="0.25">
      <c r="A11" s="325">
        <f>IF(Info!$J$3&gt;0,Info!$J$3+B11, )</f>
        <v>0</v>
      </c>
      <c r="B11" s="381">
        <v>107</v>
      </c>
      <c r="C11" s="299"/>
      <c r="D11" s="299"/>
      <c r="E11" s="299"/>
      <c r="F11" s="211"/>
      <c r="G11" s="211"/>
      <c r="H11" s="294"/>
      <c r="I11" s="294"/>
      <c r="J11" s="208"/>
      <c r="K11" s="208"/>
      <c r="L11" s="47">
        <v>168</v>
      </c>
    </row>
    <row r="12" spans="1:12" x14ac:dyDescent="0.25">
      <c r="A12" s="325">
        <f>IF(Info!$J$3&gt;0,Info!$J$3+B12, )</f>
        <v>0</v>
      </c>
      <c r="B12" s="381">
        <v>108</v>
      </c>
      <c r="C12" s="299"/>
      <c r="D12" s="299"/>
      <c r="E12" s="299"/>
      <c r="F12" s="211"/>
      <c r="G12" s="211"/>
      <c r="H12" s="294"/>
      <c r="I12" s="294"/>
      <c r="J12" s="208"/>
      <c r="K12" s="208"/>
      <c r="L12" s="47">
        <v>175</v>
      </c>
    </row>
    <row r="13" spans="1:12" x14ac:dyDescent="0.25">
      <c r="A13" s="325">
        <f>IF(Info!$J$3&gt;0,Info!$J$3+B13, )</f>
        <v>0</v>
      </c>
      <c r="B13" s="381">
        <v>109</v>
      </c>
      <c r="C13" s="299"/>
      <c r="D13" s="299"/>
      <c r="E13" s="299"/>
      <c r="F13" s="211"/>
      <c r="G13" s="211"/>
      <c r="H13" s="294"/>
      <c r="I13" s="294"/>
      <c r="J13" s="208"/>
      <c r="K13" s="208"/>
      <c r="L13" s="47">
        <v>182</v>
      </c>
    </row>
    <row r="14" spans="1:12" x14ac:dyDescent="0.25">
      <c r="A14" s="325">
        <f>IF(Info!$J$3&gt;0,Info!$J$3+B14, )</f>
        <v>0</v>
      </c>
      <c r="B14" s="381">
        <v>110</v>
      </c>
      <c r="C14" s="299"/>
      <c r="D14" s="299"/>
      <c r="E14" s="299"/>
      <c r="F14" s="211"/>
      <c r="G14" s="211"/>
      <c r="H14" s="294"/>
      <c r="I14" s="294"/>
      <c r="J14" s="208"/>
      <c r="K14" s="208"/>
      <c r="L14" s="47">
        <v>189</v>
      </c>
    </row>
    <row r="15" spans="1:12" x14ac:dyDescent="0.25">
      <c r="A15" s="325">
        <f>IF(Info!$J$3&gt;0,Info!$J$3+B15, )</f>
        <v>0</v>
      </c>
      <c r="B15" s="381">
        <v>111</v>
      </c>
      <c r="C15" s="299"/>
      <c r="D15" s="299"/>
      <c r="E15" s="299"/>
      <c r="F15" s="211"/>
      <c r="G15" s="211"/>
      <c r="H15" s="294"/>
      <c r="I15" s="294"/>
      <c r="J15" s="208"/>
      <c r="K15" s="208"/>
      <c r="L15" s="47">
        <v>196</v>
      </c>
    </row>
    <row r="16" spans="1:12" x14ac:dyDescent="0.25">
      <c r="A16" s="325">
        <f>IF(Info!$J$3&gt;0,Info!$J$3+B16, )</f>
        <v>0</v>
      </c>
      <c r="B16" s="381">
        <v>112</v>
      </c>
      <c r="C16" s="299"/>
      <c r="D16" s="299"/>
      <c r="E16" s="299"/>
      <c r="F16" s="211"/>
      <c r="G16" s="211"/>
      <c r="H16" s="294"/>
      <c r="I16" s="294"/>
      <c r="J16" s="208"/>
      <c r="K16" s="208"/>
      <c r="L16" s="47">
        <v>203</v>
      </c>
    </row>
    <row r="17" spans="1:12" x14ac:dyDescent="0.25">
      <c r="A17" s="326">
        <f>A16</f>
        <v>0</v>
      </c>
      <c r="B17" s="382" t="str">
        <f>Traducción!$B$24&amp;" 16"</f>
        <v>Sem. 16</v>
      </c>
      <c r="C17" s="307">
        <f t="shared" ref="C17:I17" si="1">SUM(C10:C16)</f>
        <v>0</v>
      </c>
      <c r="D17" s="307">
        <f t="shared" si="1"/>
        <v>0</v>
      </c>
      <c r="E17" s="307">
        <f t="shared" si="1"/>
        <v>0</v>
      </c>
      <c r="F17" s="312">
        <f>IFERROR(AVERAGE(F10:F16), )</f>
        <v>0</v>
      </c>
      <c r="G17" s="312">
        <f>IFERROR(AVERAGE(G10:G16), )</f>
        <v>0</v>
      </c>
      <c r="H17" s="316">
        <f t="shared" si="1"/>
        <v>0</v>
      </c>
      <c r="I17" s="316">
        <f t="shared" si="1"/>
        <v>0</v>
      </c>
      <c r="J17" s="329">
        <f>IFERROR(AVERAGE(J10:J16), )</f>
        <v>0</v>
      </c>
      <c r="K17" s="224"/>
      <c r="L17" s="47">
        <v>210</v>
      </c>
    </row>
    <row r="18" spans="1:12" x14ac:dyDescent="0.25">
      <c r="A18" s="325">
        <f>IF(Info!$J$3&gt;0,Info!$J$3+B18, )</f>
        <v>0</v>
      </c>
      <c r="B18" s="381">
        <v>113</v>
      </c>
      <c r="C18" s="308"/>
      <c r="D18" s="308"/>
      <c r="E18" s="308"/>
      <c r="F18" s="313"/>
      <c r="G18" s="313"/>
      <c r="H18" s="317"/>
      <c r="I18" s="317"/>
      <c r="J18" s="225"/>
      <c r="K18" s="208"/>
      <c r="L18" s="47">
        <v>217</v>
      </c>
    </row>
    <row r="19" spans="1:12" x14ac:dyDescent="0.25">
      <c r="A19" s="325">
        <f>IF(Info!$J$3&gt;0,Info!$J$3+B19, )</f>
        <v>0</v>
      </c>
      <c r="B19" s="381">
        <v>114</v>
      </c>
      <c r="C19" s="299"/>
      <c r="D19" s="299"/>
      <c r="E19" s="299"/>
      <c r="F19" s="211"/>
      <c r="G19" s="211"/>
      <c r="H19" s="294"/>
      <c r="I19" s="294"/>
      <c r="J19" s="208"/>
      <c r="K19" s="208"/>
      <c r="L19" s="47">
        <v>224</v>
      </c>
    </row>
    <row r="20" spans="1:12" x14ac:dyDescent="0.25">
      <c r="A20" s="325">
        <f>IF(Info!$J$3&gt;0,Info!$J$3+B20, )</f>
        <v>0</v>
      </c>
      <c r="B20" s="381">
        <v>115</v>
      </c>
      <c r="C20" s="299"/>
      <c r="D20" s="299"/>
      <c r="E20" s="299"/>
      <c r="F20" s="211"/>
      <c r="G20" s="211"/>
      <c r="H20" s="294"/>
      <c r="I20" s="294"/>
      <c r="J20" s="208"/>
      <c r="K20" s="208"/>
      <c r="L20" s="47">
        <v>231</v>
      </c>
    </row>
    <row r="21" spans="1:12" x14ac:dyDescent="0.25">
      <c r="A21" s="325">
        <f>IF(Info!$J$3&gt;0,Info!$J$3+B21, )</f>
        <v>0</v>
      </c>
      <c r="B21" s="381">
        <v>116</v>
      </c>
      <c r="C21" s="299"/>
      <c r="D21" s="299"/>
      <c r="E21" s="299"/>
      <c r="F21" s="211"/>
      <c r="G21" s="211"/>
      <c r="H21" s="294"/>
      <c r="I21" s="294"/>
      <c r="J21" s="208"/>
      <c r="K21" s="208"/>
      <c r="L21" s="47">
        <v>238</v>
      </c>
    </row>
    <row r="22" spans="1:12" x14ac:dyDescent="0.25">
      <c r="A22" s="325">
        <f>IF(Info!$J$3&gt;0,Info!$J$3+B22, )</f>
        <v>0</v>
      </c>
      <c r="B22" s="381">
        <v>117</v>
      </c>
      <c r="C22" s="299"/>
      <c r="D22" s="299"/>
      <c r="E22" s="299"/>
      <c r="F22" s="211"/>
      <c r="G22" s="211"/>
      <c r="H22" s="294"/>
      <c r="I22" s="294"/>
      <c r="J22" s="208"/>
      <c r="K22" s="208"/>
      <c r="L22" s="47">
        <v>245</v>
      </c>
    </row>
    <row r="23" spans="1:12" x14ac:dyDescent="0.25">
      <c r="A23" s="325">
        <f>IF(Info!$J$3&gt;0,Info!$J$3+B23, )</f>
        <v>0</v>
      </c>
      <c r="B23" s="381">
        <v>118</v>
      </c>
      <c r="C23" s="299"/>
      <c r="D23" s="299"/>
      <c r="E23" s="299"/>
      <c r="F23" s="211"/>
      <c r="G23" s="211"/>
      <c r="H23" s="294"/>
      <c r="I23" s="294"/>
      <c r="J23" s="208"/>
      <c r="K23" s="208"/>
      <c r="L23" s="47">
        <v>252</v>
      </c>
    </row>
    <row r="24" spans="1:12" x14ac:dyDescent="0.25">
      <c r="A24" s="325">
        <f>IF(Info!$J$3&gt;0,Info!$J$3+B24, )</f>
        <v>0</v>
      </c>
      <c r="B24" s="381">
        <v>119</v>
      </c>
      <c r="C24" s="299"/>
      <c r="D24" s="299"/>
      <c r="E24" s="299"/>
      <c r="F24" s="211"/>
      <c r="G24" s="211"/>
      <c r="H24" s="294"/>
      <c r="I24" s="294"/>
      <c r="J24" s="208"/>
      <c r="K24" s="208"/>
      <c r="L24" s="47">
        <v>259</v>
      </c>
    </row>
    <row r="25" spans="1:12" x14ac:dyDescent="0.25">
      <c r="A25" s="326">
        <f>A24</f>
        <v>0</v>
      </c>
      <c r="B25" s="382" t="str">
        <f>Traducción!$B$24&amp;" 17"</f>
        <v>Sem. 17</v>
      </c>
      <c r="C25" s="307">
        <f t="shared" ref="C25:E25" si="2">SUM(C18:C24)</f>
        <v>0</v>
      </c>
      <c r="D25" s="307">
        <f t="shared" si="2"/>
        <v>0</v>
      </c>
      <c r="E25" s="307">
        <f t="shared" si="2"/>
        <v>0</v>
      </c>
      <c r="F25" s="312">
        <f t="shared" ref="F25:G25" si="3">IFERROR(AVERAGE(F18:F24), )</f>
        <v>0</v>
      </c>
      <c r="G25" s="312">
        <f t="shared" si="3"/>
        <v>0</v>
      </c>
      <c r="H25" s="316">
        <f t="shared" ref="H25:I25" si="4">SUM(H18:H24)</f>
        <v>0</v>
      </c>
      <c r="I25" s="316">
        <f t="shared" si="4"/>
        <v>0</v>
      </c>
      <c r="J25" s="329">
        <f t="shared" ref="J25" si="5">IFERROR(AVERAGE(J18:J24), )</f>
        <v>0</v>
      </c>
      <c r="K25" s="224"/>
      <c r="L25" s="47">
        <v>266</v>
      </c>
    </row>
    <row r="26" spans="1:12" x14ac:dyDescent="0.25">
      <c r="A26" s="325">
        <f>IF(Info!$J$3&gt;0,Info!$J$3+B26, )</f>
        <v>0</v>
      </c>
      <c r="B26" s="381">
        <v>120</v>
      </c>
      <c r="C26" s="308"/>
      <c r="D26" s="308"/>
      <c r="E26" s="308"/>
      <c r="F26" s="313"/>
      <c r="G26" s="313"/>
      <c r="H26" s="317"/>
      <c r="I26" s="317"/>
      <c r="J26" s="225"/>
      <c r="K26" s="208"/>
      <c r="L26" s="47">
        <v>273</v>
      </c>
    </row>
    <row r="27" spans="1:12" x14ac:dyDescent="0.25">
      <c r="A27" s="325">
        <f>IF(Info!$J$3&gt;0,Info!$J$3+B27, )</f>
        <v>0</v>
      </c>
      <c r="B27" s="381">
        <v>121</v>
      </c>
      <c r="C27" s="299"/>
      <c r="D27" s="299"/>
      <c r="E27" s="299"/>
      <c r="F27" s="211"/>
      <c r="G27" s="211"/>
      <c r="H27" s="294"/>
      <c r="I27" s="294"/>
      <c r="J27" s="208"/>
      <c r="K27" s="208"/>
      <c r="L27" s="47">
        <v>280</v>
      </c>
    </row>
    <row r="28" spans="1:12" x14ac:dyDescent="0.25">
      <c r="A28" s="325">
        <f>IF(Info!$J$3&gt;0,Info!$J$3+B28, )</f>
        <v>0</v>
      </c>
      <c r="B28" s="381">
        <v>122</v>
      </c>
      <c r="C28" s="299"/>
      <c r="D28" s="299"/>
      <c r="E28" s="299"/>
      <c r="F28" s="211"/>
      <c r="G28" s="211"/>
      <c r="H28" s="294"/>
      <c r="I28" s="294"/>
      <c r="J28" s="208"/>
      <c r="K28" s="208"/>
      <c r="L28" s="47">
        <v>287</v>
      </c>
    </row>
    <row r="29" spans="1:12" x14ac:dyDescent="0.25">
      <c r="A29" s="325">
        <f>IF(Info!$J$3&gt;0,Info!$J$3+B29, )</f>
        <v>0</v>
      </c>
      <c r="B29" s="381">
        <v>123</v>
      </c>
      <c r="C29" s="299"/>
      <c r="D29" s="299"/>
      <c r="E29" s="299"/>
      <c r="F29" s="211"/>
      <c r="G29" s="211"/>
      <c r="H29" s="294"/>
      <c r="I29" s="294"/>
      <c r="J29" s="208"/>
      <c r="K29" s="208"/>
      <c r="L29" s="47">
        <v>294</v>
      </c>
    </row>
    <row r="30" spans="1:12" x14ac:dyDescent="0.25">
      <c r="A30" s="325">
        <f>IF(Info!$J$3&gt;0,Info!$J$3+B30, )</f>
        <v>0</v>
      </c>
      <c r="B30" s="381">
        <v>124</v>
      </c>
      <c r="C30" s="299"/>
      <c r="D30" s="299"/>
      <c r="E30" s="299"/>
      <c r="F30" s="211"/>
      <c r="G30" s="211"/>
      <c r="H30" s="294"/>
      <c r="I30" s="294"/>
      <c r="J30" s="208"/>
      <c r="K30" s="208"/>
      <c r="L30" s="47">
        <v>301</v>
      </c>
    </row>
    <row r="31" spans="1:12" x14ac:dyDescent="0.25">
      <c r="A31" s="325">
        <f>IF(Info!$J$3&gt;0,Info!$J$3+B31, )</f>
        <v>0</v>
      </c>
      <c r="B31" s="381">
        <v>125</v>
      </c>
      <c r="C31" s="299"/>
      <c r="D31" s="299"/>
      <c r="E31" s="299"/>
      <c r="F31" s="211"/>
      <c r="G31" s="211"/>
      <c r="H31" s="294"/>
      <c r="I31" s="294"/>
      <c r="J31" s="208"/>
      <c r="K31" s="208"/>
      <c r="L31" s="47">
        <v>308</v>
      </c>
    </row>
    <row r="32" spans="1:12" x14ac:dyDescent="0.25">
      <c r="A32" s="325">
        <f>IF(Info!$J$3&gt;0,Info!$J$3+B32, )</f>
        <v>0</v>
      </c>
      <c r="B32" s="381">
        <v>126</v>
      </c>
      <c r="C32" s="299"/>
      <c r="D32" s="299"/>
      <c r="E32" s="299"/>
      <c r="F32" s="211"/>
      <c r="G32" s="211"/>
      <c r="H32" s="294"/>
      <c r="I32" s="294"/>
      <c r="J32" s="208"/>
      <c r="K32" s="208"/>
      <c r="L32" s="47">
        <v>315</v>
      </c>
    </row>
    <row r="33" spans="1:12" x14ac:dyDescent="0.25">
      <c r="A33" s="326">
        <f>A32</f>
        <v>0</v>
      </c>
      <c r="B33" s="382" t="str">
        <f>Traducción!$B$24&amp;" 18"</f>
        <v>Sem. 18</v>
      </c>
      <c r="C33" s="307">
        <f t="shared" ref="C33:E33" si="6">SUM(C26:C32)</f>
        <v>0</v>
      </c>
      <c r="D33" s="307">
        <f t="shared" si="6"/>
        <v>0</v>
      </c>
      <c r="E33" s="307">
        <f t="shared" si="6"/>
        <v>0</v>
      </c>
      <c r="F33" s="312">
        <f t="shared" ref="F33:G33" si="7">IFERROR(AVERAGE(F26:F32), )</f>
        <v>0</v>
      </c>
      <c r="G33" s="312">
        <f t="shared" si="7"/>
        <v>0</v>
      </c>
      <c r="H33" s="316">
        <f t="shared" ref="H33:I33" si="8">SUM(H26:H32)</f>
        <v>0</v>
      </c>
      <c r="I33" s="316">
        <f t="shared" si="8"/>
        <v>0</v>
      </c>
      <c r="J33" s="329">
        <f t="shared" ref="J33" si="9">IFERROR(AVERAGE(J26:J32), )</f>
        <v>0</v>
      </c>
      <c r="K33" s="224"/>
      <c r="L33" s="47">
        <v>322</v>
      </c>
    </row>
    <row r="34" spans="1:12" x14ac:dyDescent="0.25">
      <c r="A34" s="325">
        <f>IF(Info!$J$3&gt;0,Info!$J$3+B34, )</f>
        <v>0</v>
      </c>
      <c r="B34" s="381">
        <v>127</v>
      </c>
      <c r="C34" s="308"/>
      <c r="D34" s="308"/>
      <c r="E34" s="308"/>
      <c r="F34" s="313"/>
      <c r="G34" s="313"/>
      <c r="H34" s="317"/>
      <c r="I34" s="317"/>
      <c r="J34" s="225"/>
      <c r="K34" s="208"/>
      <c r="L34" s="47">
        <v>329</v>
      </c>
    </row>
    <row r="35" spans="1:12" x14ac:dyDescent="0.25">
      <c r="A35" s="325">
        <f>IF(Info!$J$3&gt;0,Info!$J$3+B35, )</f>
        <v>0</v>
      </c>
      <c r="B35" s="381">
        <v>128</v>
      </c>
      <c r="C35" s="299"/>
      <c r="D35" s="299"/>
      <c r="E35" s="299"/>
      <c r="F35" s="211"/>
      <c r="G35" s="211"/>
      <c r="H35" s="294"/>
      <c r="I35" s="294"/>
      <c r="J35" s="208"/>
      <c r="K35" s="208"/>
      <c r="L35" s="47">
        <v>336</v>
      </c>
    </row>
    <row r="36" spans="1:12" x14ac:dyDescent="0.25">
      <c r="A36" s="325">
        <f>IF(Info!$J$3&gt;0,Info!$J$3+B36, )</f>
        <v>0</v>
      </c>
      <c r="B36" s="381">
        <v>129</v>
      </c>
      <c r="C36" s="299"/>
      <c r="D36" s="299"/>
      <c r="E36" s="299"/>
      <c r="F36" s="211"/>
      <c r="G36" s="211"/>
      <c r="H36" s="294"/>
      <c r="I36" s="294"/>
      <c r="J36" s="208"/>
      <c r="K36" s="208"/>
      <c r="L36" s="47">
        <v>343</v>
      </c>
    </row>
    <row r="37" spans="1:12" x14ac:dyDescent="0.25">
      <c r="A37" s="325">
        <f>IF(Info!$J$3&gt;0,Info!$J$3+B37, )</f>
        <v>0</v>
      </c>
      <c r="B37" s="381">
        <v>130</v>
      </c>
      <c r="C37" s="299"/>
      <c r="D37" s="299"/>
      <c r="E37" s="299"/>
      <c r="F37" s="211"/>
      <c r="G37" s="211"/>
      <c r="H37" s="294"/>
      <c r="I37" s="294"/>
      <c r="J37" s="208"/>
      <c r="K37" s="208"/>
      <c r="L37" s="47">
        <v>350</v>
      </c>
    </row>
    <row r="38" spans="1:12" x14ac:dyDescent="0.25">
      <c r="A38" s="325">
        <f>IF(Info!$J$3&gt;0,Info!$J$3+B38, )</f>
        <v>0</v>
      </c>
      <c r="B38" s="381">
        <v>131</v>
      </c>
      <c r="C38" s="299"/>
      <c r="D38" s="299"/>
      <c r="E38" s="299"/>
      <c r="F38" s="211"/>
      <c r="G38" s="211"/>
      <c r="H38" s="294"/>
      <c r="I38" s="294"/>
      <c r="J38" s="208"/>
      <c r="K38" s="208"/>
      <c r="L38" s="47">
        <v>357</v>
      </c>
    </row>
    <row r="39" spans="1:12" x14ac:dyDescent="0.25">
      <c r="A39" s="325">
        <f>IF(Info!$J$3&gt;0,Info!$J$3+B39, )</f>
        <v>0</v>
      </c>
      <c r="B39" s="381">
        <v>132</v>
      </c>
      <c r="C39" s="299"/>
      <c r="D39" s="299"/>
      <c r="E39" s="299"/>
      <c r="F39" s="211"/>
      <c r="G39" s="211"/>
      <c r="H39" s="294"/>
      <c r="I39" s="294"/>
      <c r="J39" s="208"/>
      <c r="K39" s="208"/>
      <c r="L39" s="47">
        <v>364</v>
      </c>
    </row>
    <row r="40" spans="1:12" x14ac:dyDescent="0.25">
      <c r="A40" s="325">
        <f>IF(Info!$J$3&gt;0,Info!$J$3+B40, )</f>
        <v>0</v>
      </c>
      <c r="B40" s="381">
        <v>133</v>
      </c>
      <c r="C40" s="299"/>
      <c r="D40" s="299"/>
      <c r="E40" s="299"/>
      <c r="F40" s="211"/>
      <c r="G40" s="211"/>
      <c r="H40" s="294"/>
      <c r="I40" s="294"/>
      <c r="J40" s="208"/>
      <c r="K40" s="208"/>
      <c r="L40" s="47">
        <v>371</v>
      </c>
    </row>
    <row r="41" spans="1:12" x14ac:dyDescent="0.25">
      <c r="A41" s="326">
        <f>A40</f>
        <v>0</v>
      </c>
      <c r="B41" s="382" t="str">
        <f>Traducción!$B$24&amp;" 19"</f>
        <v>Sem. 19</v>
      </c>
      <c r="C41" s="307">
        <f t="shared" ref="C41:E41" si="10">SUM(C34:C40)</f>
        <v>0</v>
      </c>
      <c r="D41" s="307">
        <f t="shared" si="10"/>
        <v>0</v>
      </c>
      <c r="E41" s="307">
        <f t="shared" si="10"/>
        <v>0</v>
      </c>
      <c r="F41" s="312">
        <f t="shared" ref="F41:G41" si="11">IFERROR(AVERAGE(F34:F40), )</f>
        <v>0</v>
      </c>
      <c r="G41" s="312">
        <f t="shared" si="11"/>
        <v>0</v>
      </c>
      <c r="H41" s="316">
        <f t="shared" ref="H41:I41" si="12">SUM(H34:H40)</f>
        <v>0</v>
      </c>
      <c r="I41" s="316">
        <f t="shared" si="12"/>
        <v>0</v>
      </c>
      <c r="J41" s="329">
        <f t="shared" ref="J41" si="13">IFERROR(AVERAGE(J34:J40), )</f>
        <v>0</v>
      </c>
      <c r="K41" s="224"/>
      <c r="L41" s="47">
        <v>378</v>
      </c>
    </row>
    <row r="42" spans="1:12" x14ac:dyDescent="0.25">
      <c r="A42" s="325">
        <f>IF(Info!$J$3&gt;0,Info!$J$3+B42, )</f>
        <v>0</v>
      </c>
      <c r="B42" s="381">
        <v>134</v>
      </c>
      <c r="C42" s="308"/>
      <c r="D42" s="308"/>
      <c r="E42" s="308"/>
      <c r="F42" s="313"/>
      <c r="G42" s="313"/>
      <c r="H42" s="317"/>
      <c r="I42" s="317"/>
      <c r="J42" s="225"/>
      <c r="K42" s="208"/>
      <c r="L42" s="47">
        <v>385</v>
      </c>
    </row>
    <row r="43" spans="1:12" x14ac:dyDescent="0.25">
      <c r="A43" s="325">
        <f>IF(Info!$J$3&gt;0,Info!$J$3+B43, )</f>
        <v>0</v>
      </c>
      <c r="B43" s="381">
        <v>135</v>
      </c>
      <c r="C43" s="299"/>
      <c r="D43" s="299"/>
      <c r="E43" s="299"/>
      <c r="F43" s="211"/>
      <c r="G43" s="211"/>
      <c r="H43" s="294"/>
      <c r="I43" s="294"/>
      <c r="J43" s="208"/>
      <c r="K43" s="208"/>
      <c r="L43" s="47">
        <v>392</v>
      </c>
    </row>
    <row r="44" spans="1:12" x14ac:dyDescent="0.25">
      <c r="A44" s="325">
        <f>IF(Info!$J$3&gt;0,Info!$J$3+B44, )</f>
        <v>0</v>
      </c>
      <c r="B44" s="381">
        <v>136</v>
      </c>
      <c r="C44" s="299"/>
      <c r="D44" s="299"/>
      <c r="E44" s="299"/>
      <c r="F44" s="211"/>
      <c r="G44" s="211"/>
      <c r="H44" s="294"/>
      <c r="I44" s="294"/>
      <c r="J44" s="208"/>
      <c r="K44" s="208"/>
      <c r="L44" s="47">
        <v>399</v>
      </c>
    </row>
    <row r="45" spans="1:12" x14ac:dyDescent="0.25">
      <c r="A45" s="325">
        <f>IF(Info!$J$3&gt;0,Info!$J$3+B45, )</f>
        <v>0</v>
      </c>
      <c r="B45" s="381">
        <v>137</v>
      </c>
      <c r="C45" s="299"/>
      <c r="D45" s="299"/>
      <c r="E45" s="299"/>
      <c r="F45" s="211"/>
      <c r="G45" s="211"/>
      <c r="H45" s="294"/>
      <c r="I45" s="294"/>
      <c r="J45" s="208"/>
      <c r="K45" s="208"/>
      <c r="L45" s="47">
        <v>406</v>
      </c>
    </row>
    <row r="46" spans="1:12" x14ac:dyDescent="0.25">
      <c r="A46" s="325">
        <f>IF(Info!$J$3&gt;0,Info!$J$3+B46, )</f>
        <v>0</v>
      </c>
      <c r="B46" s="381">
        <v>138</v>
      </c>
      <c r="C46" s="299"/>
      <c r="D46" s="299"/>
      <c r="E46" s="299"/>
      <c r="F46" s="211"/>
      <c r="G46" s="211"/>
      <c r="H46" s="294"/>
      <c r="I46" s="294"/>
      <c r="J46" s="208"/>
      <c r="K46" s="208"/>
      <c r="L46" s="47">
        <v>413</v>
      </c>
    </row>
    <row r="47" spans="1:12" x14ac:dyDescent="0.25">
      <c r="A47" s="325">
        <f>IF(Info!$J$3&gt;0,Info!$J$3+B47, )</f>
        <v>0</v>
      </c>
      <c r="B47" s="381">
        <v>139</v>
      </c>
      <c r="C47" s="299"/>
      <c r="D47" s="299"/>
      <c r="E47" s="299"/>
      <c r="F47" s="211"/>
      <c r="G47" s="211"/>
      <c r="H47" s="294"/>
      <c r="I47" s="294"/>
      <c r="J47" s="208"/>
      <c r="K47" s="208"/>
      <c r="L47" s="47">
        <v>420</v>
      </c>
    </row>
    <row r="48" spans="1:12" x14ac:dyDescent="0.25">
      <c r="A48" s="325">
        <f>IF(Info!$J$3&gt;0,Info!$J$3+B48, )</f>
        <v>0</v>
      </c>
      <c r="B48" s="381">
        <v>140</v>
      </c>
      <c r="C48" s="299"/>
      <c r="D48" s="299"/>
      <c r="E48" s="299"/>
      <c r="F48" s="211"/>
      <c r="G48" s="211"/>
      <c r="H48" s="294"/>
      <c r="I48" s="294"/>
      <c r="J48" s="208"/>
      <c r="K48" s="208"/>
      <c r="L48" s="47">
        <v>427</v>
      </c>
    </row>
    <row r="49" spans="1:16" x14ac:dyDescent="0.25">
      <c r="A49" s="326">
        <f>A48</f>
        <v>0</v>
      </c>
      <c r="B49" s="382" t="str">
        <f>Traducción!$B$24&amp;" 20"</f>
        <v>Sem. 20</v>
      </c>
      <c r="C49" s="307">
        <f t="shared" ref="C49:E49" si="14">SUM(C42:C48)</f>
        <v>0</v>
      </c>
      <c r="D49" s="307">
        <f t="shared" si="14"/>
        <v>0</v>
      </c>
      <c r="E49" s="307">
        <f t="shared" si="14"/>
        <v>0</v>
      </c>
      <c r="F49" s="312">
        <f t="shared" ref="F49:G49" si="15">IFERROR(AVERAGE(F42:F48), )</f>
        <v>0</v>
      </c>
      <c r="G49" s="312">
        <f t="shared" si="15"/>
        <v>0</v>
      </c>
      <c r="H49" s="316">
        <f t="shared" ref="H49:I49" si="16">SUM(H42:H48)</f>
        <v>0</v>
      </c>
      <c r="I49" s="316">
        <f t="shared" si="16"/>
        <v>0</v>
      </c>
      <c r="J49" s="329">
        <f t="shared" ref="J49" si="17">IFERROR(AVERAGE(J42:J48), )</f>
        <v>0</v>
      </c>
      <c r="K49" s="224"/>
      <c r="L49" s="47">
        <v>434</v>
      </c>
    </row>
    <row r="50" spans="1:16" x14ac:dyDescent="0.25">
      <c r="A50" s="325">
        <f>IF(Info!$J$3&gt;0,Info!$J$3+B50, )</f>
        <v>0</v>
      </c>
      <c r="B50" s="381">
        <v>141</v>
      </c>
      <c r="C50" s="308"/>
      <c r="D50" s="308"/>
      <c r="E50" s="308"/>
      <c r="F50" s="313"/>
      <c r="G50" s="313"/>
      <c r="H50" s="317"/>
      <c r="I50" s="317"/>
      <c r="J50" s="225"/>
      <c r="K50" s="208"/>
      <c r="L50" s="47">
        <v>441</v>
      </c>
    </row>
    <row r="51" spans="1:16" x14ac:dyDescent="0.25">
      <c r="A51" s="325">
        <f>IF(Info!$J$3&gt;0,Info!$J$3+B51, )</f>
        <v>0</v>
      </c>
      <c r="B51" s="335">
        <v>142</v>
      </c>
      <c r="C51" s="299"/>
      <c r="D51" s="299"/>
      <c r="E51" s="299"/>
      <c r="F51" s="211"/>
      <c r="G51" s="211"/>
      <c r="H51" s="294"/>
      <c r="I51" s="294"/>
      <c r="J51" s="208"/>
      <c r="K51" s="208"/>
      <c r="L51" s="47">
        <v>448</v>
      </c>
    </row>
    <row r="52" spans="1:16" x14ac:dyDescent="0.25">
      <c r="A52" s="325">
        <f>IF(Info!$J$3&gt;0,Info!$J$3+B52, )</f>
        <v>0</v>
      </c>
      <c r="B52" s="381">
        <v>143</v>
      </c>
      <c r="C52" s="299"/>
      <c r="D52" s="299"/>
      <c r="E52" s="299"/>
      <c r="F52" s="211"/>
      <c r="G52" s="211"/>
      <c r="H52" s="294"/>
      <c r="I52" s="294"/>
      <c r="J52" s="208"/>
      <c r="K52" s="208"/>
      <c r="L52" s="47">
        <v>455</v>
      </c>
    </row>
    <row r="53" spans="1:16" x14ac:dyDescent="0.25">
      <c r="A53" s="325">
        <f>IF(Info!$J$3&gt;0,Info!$J$3+B53, )</f>
        <v>0</v>
      </c>
      <c r="B53" s="335">
        <v>144</v>
      </c>
      <c r="C53" s="299"/>
      <c r="D53" s="299"/>
      <c r="E53" s="299"/>
      <c r="F53" s="211"/>
      <c r="G53" s="211"/>
      <c r="H53" s="294"/>
      <c r="I53" s="294"/>
      <c r="J53" s="208"/>
      <c r="K53" s="208"/>
      <c r="L53" s="47">
        <v>462</v>
      </c>
    </row>
    <row r="54" spans="1:16" x14ac:dyDescent="0.25">
      <c r="A54" s="325">
        <f>IF(Info!$J$3&gt;0,Info!$J$3+B54, )</f>
        <v>0</v>
      </c>
      <c r="B54" s="381">
        <v>145</v>
      </c>
      <c r="C54" s="299"/>
      <c r="D54" s="299"/>
      <c r="E54" s="299"/>
      <c r="F54" s="211"/>
      <c r="G54" s="211"/>
      <c r="H54" s="294"/>
      <c r="I54" s="294"/>
      <c r="J54" s="208"/>
      <c r="K54" s="208"/>
      <c r="L54" s="47">
        <v>469</v>
      </c>
    </row>
    <row r="55" spans="1:16" x14ac:dyDescent="0.25">
      <c r="A55" s="325">
        <f>IF(Info!$J$3&gt;0,Info!$J$3+B55, )</f>
        <v>0</v>
      </c>
      <c r="B55" s="335">
        <v>146</v>
      </c>
      <c r="C55" s="299"/>
      <c r="D55" s="299"/>
      <c r="E55" s="299"/>
      <c r="F55" s="211"/>
      <c r="G55" s="211"/>
      <c r="H55" s="294"/>
      <c r="I55" s="294"/>
      <c r="J55" s="208"/>
      <c r="K55" s="208"/>
      <c r="L55" s="47">
        <v>476</v>
      </c>
    </row>
    <row r="56" spans="1:16" x14ac:dyDescent="0.25">
      <c r="A56" s="325">
        <f>IF(Info!$J$3&gt;0,Info!$J$3+B56, )</f>
        <v>0</v>
      </c>
      <c r="B56" s="381">
        <v>147</v>
      </c>
      <c r="C56" s="299"/>
      <c r="D56" s="299"/>
      <c r="E56" s="299"/>
      <c r="F56" s="211"/>
      <c r="G56" s="211"/>
      <c r="H56" s="294"/>
      <c r="I56" s="294"/>
      <c r="J56" s="208"/>
      <c r="K56" s="208"/>
      <c r="L56" s="47">
        <v>483</v>
      </c>
    </row>
    <row r="57" spans="1:16" x14ac:dyDescent="0.25">
      <c r="A57" s="326">
        <f>A56</f>
        <v>0</v>
      </c>
      <c r="B57" s="382" t="str">
        <f>Traducción!$B$24&amp;" 21"</f>
        <v>Sem. 21</v>
      </c>
      <c r="C57" s="307">
        <f t="shared" ref="C57:E57" si="18">SUM(C50:C56)</f>
        <v>0</v>
      </c>
      <c r="D57" s="307">
        <f t="shared" si="18"/>
        <v>0</v>
      </c>
      <c r="E57" s="307">
        <f t="shared" si="18"/>
        <v>0</v>
      </c>
      <c r="F57" s="312">
        <f t="shared" ref="F57:G57" si="19">IFERROR(AVERAGE(F50:F56), )</f>
        <v>0</v>
      </c>
      <c r="G57" s="312">
        <f t="shared" si="19"/>
        <v>0</v>
      </c>
      <c r="H57" s="316">
        <f t="shared" ref="H57:I57" si="20">SUM(H50:H56)</f>
        <v>0</v>
      </c>
      <c r="I57" s="316">
        <f t="shared" si="20"/>
        <v>0</v>
      </c>
      <c r="J57" s="329">
        <f t="shared" ref="J57" si="21">IFERROR(AVERAGE(J50:J56), )</f>
        <v>0</v>
      </c>
      <c r="K57" s="224"/>
      <c r="L57" s="47">
        <v>490</v>
      </c>
    </row>
    <row r="58" spans="1:16" x14ac:dyDescent="0.25">
      <c r="A58" s="325">
        <f>IF(Info!$J$3&gt;0,Info!$J$3+B58, )</f>
        <v>0</v>
      </c>
      <c r="B58" s="335">
        <v>148</v>
      </c>
      <c r="C58" s="308"/>
      <c r="D58" s="308"/>
      <c r="E58" s="308"/>
      <c r="F58" s="313"/>
      <c r="G58" s="313"/>
      <c r="H58" s="317"/>
      <c r="I58" s="317"/>
      <c r="J58" s="225"/>
      <c r="K58" s="208"/>
      <c r="L58" s="47">
        <v>497</v>
      </c>
    </row>
    <row r="59" spans="1:16" x14ac:dyDescent="0.25">
      <c r="A59" s="325">
        <f>IF(Info!$J$3&gt;0,Info!$J$3+B59, )</f>
        <v>0</v>
      </c>
      <c r="B59" s="381">
        <v>149</v>
      </c>
      <c r="C59" s="299"/>
      <c r="D59" s="299"/>
      <c r="E59" s="299"/>
      <c r="F59" s="211"/>
      <c r="G59" s="211"/>
      <c r="H59" s="294"/>
      <c r="I59" s="294"/>
      <c r="J59" s="208"/>
      <c r="K59" s="208"/>
      <c r="L59" s="47">
        <v>504</v>
      </c>
    </row>
    <row r="60" spans="1:16" x14ac:dyDescent="0.25">
      <c r="A60" s="325">
        <f>IF(Info!$J$3&gt;0,Info!$J$3+B60, )</f>
        <v>0</v>
      </c>
      <c r="B60" s="335">
        <v>150</v>
      </c>
      <c r="C60" s="299"/>
      <c r="D60" s="299"/>
      <c r="E60" s="299"/>
      <c r="F60" s="211"/>
      <c r="G60" s="211"/>
      <c r="H60" s="294"/>
      <c r="I60" s="294"/>
      <c r="J60" s="208"/>
      <c r="K60" s="208"/>
      <c r="L60" s="47">
        <v>511</v>
      </c>
      <c r="M60" s="9"/>
      <c r="N60" s="126"/>
      <c r="O60" s="12"/>
      <c r="P60" s="12"/>
    </row>
    <row r="61" spans="1:16" x14ac:dyDescent="0.25">
      <c r="A61" s="325">
        <f>IF(Info!$J$3&gt;0,Info!$J$3+B61, )</f>
        <v>0</v>
      </c>
      <c r="B61" s="381">
        <v>151</v>
      </c>
      <c r="C61" s="299"/>
      <c r="D61" s="299"/>
      <c r="E61" s="299"/>
      <c r="F61" s="211"/>
      <c r="G61" s="211"/>
      <c r="H61" s="294"/>
      <c r="I61" s="294"/>
      <c r="J61" s="208"/>
      <c r="K61" s="208"/>
      <c r="L61" s="47">
        <v>518</v>
      </c>
      <c r="M61" s="9"/>
      <c r="N61" s="126"/>
      <c r="O61" s="12"/>
      <c r="P61" s="12"/>
    </row>
    <row r="62" spans="1:16" x14ac:dyDescent="0.25">
      <c r="A62" s="325">
        <f>IF(Info!$J$3&gt;0,Info!$J$3+B62, )</f>
        <v>0</v>
      </c>
      <c r="B62" s="335">
        <v>152</v>
      </c>
      <c r="C62" s="299"/>
      <c r="D62" s="299"/>
      <c r="E62" s="299"/>
      <c r="F62" s="211"/>
      <c r="G62" s="211"/>
      <c r="H62" s="294"/>
      <c r="I62" s="294"/>
      <c r="J62" s="208"/>
      <c r="K62" s="208"/>
      <c r="L62" s="47">
        <v>525</v>
      </c>
      <c r="M62" s="9"/>
      <c r="N62" s="126"/>
      <c r="O62" s="12"/>
      <c r="P62" s="12"/>
    </row>
    <row r="63" spans="1:16" x14ac:dyDescent="0.25">
      <c r="A63" s="325">
        <f>IF(Info!$J$3&gt;0,Info!$J$3+B63, )</f>
        <v>0</v>
      </c>
      <c r="B63" s="381">
        <v>153</v>
      </c>
      <c r="C63" s="299"/>
      <c r="D63" s="299"/>
      <c r="E63" s="299"/>
      <c r="F63" s="211"/>
      <c r="G63" s="211"/>
      <c r="H63" s="294"/>
      <c r="I63" s="294"/>
      <c r="J63" s="208"/>
      <c r="K63" s="208"/>
      <c r="L63" s="47">
        <v>532</v>
      </c>
      <c r="M63" s="9"/>
      <c r="N63" s="126"/>
      <c r="O63" s="12"/>
      <c r="P63" s="12"/>
    </row>
    <row r="64" spans="1:16" x14ac:dyDescent="0.25">
      <c r="A64" s="325">
        <f>IF(Info!$J$3&gt;0,Info!$J$3+B64, )</f>
        <v>0</v>
      </c>
      <c r="B64" s="335">
        <v>154</v>
      </c>
      <c r="C64" s="299"/>
      <c r="D64" s="299"/>
      <c r="E64" s="299"/>
      <c r="F64" s="211"/>
      <c r="G64" s="211"/>
      <c r="H64" s="294"/>
      <c r="I64" s="294"/>
      <c r="J64" s="208"/>
      <c r="K64" s="208"/>
      <c r="L64" s="47">
        <v>539</v>
      </c>
      <c r="M64" s="9"/>
      <c r="N64" s="126"/>
      <c r="O64" s="12"/>
      <c r="P64" s="12"/>
    </row>
    <row r="65" spans="1:16" x14ac:dyDescent="0.25">
      <c r="A65" s="326">
        <f>A64</f>
        <v>0</v>
      </c>
      <c r="B65" s="382" t="str">
        <f>Traducción!$B$24&amp;" 22"</f>
        <v>Sem. 22</v>
      </c>
      <c r="C65" s="307">
        <f t="shared" ref="C65:E65" si="22">SUM(C58:C64)</f>
        <v>0</v>
      </c>
      <c r="D65" s="307">
        <f t="shared" si="22"/>
        <v>0</v>
      </c>
      <c r="E65" s="307">
        <f t="shared" si="22"/>
        <v>0</v>
      </c>
      <c r="F65" s="312">
        <f t="shared" ref="F65:G65" si="23">IFERROR(AVERAGE(F58:F64), )</f>
        <v>0</v>
      </c>
      <c r="G65" s="312">
        <f t="shared" si="23"/>
        <v>0</v>
      </c>
      <c r="H65" s="316">
        <f t="shared" ref="H65:I65" si="24">SUM(H58:H64)</f>
        <v>0</v>
      </c>
      <c r="I65" s="316">
        <f t="shared" si="24"/>
        <v>0</v>
      </c>
      <c r="J65" s="329">
        <f t="shared" ref="J65" si="25">IFERROR(AVERAGE(J58:J64), )</f>
        <v>0</v>
      </c>
      <c r="K65" s="224"/>
      <c r="L65" s="47">
        <v>546</v>
      </c>
      <c r="M65" s="9"/>
      <c r="N65" s="126"/>
      <c r="O65" s="12"/>
      <c r="P65" s="12"/>
    </row>
    <row r="66" spans="1:16" x14ac:dyDescent="0.25">
      <c r="A66" s="325">
        <f>IF(Info!$J$3&gt;0,Info!$J$3+B66, )</f>
        <v>0</v>
      </c>
      <c r="B66" s="381">
        <v>155</v>
      </c>
      <c r="C66" s="308"/>
      <c r="D66" s="308"/>
      <c r="E66" s="308"/>
      <c r="F66" s="313"/>
      <c r="G66" s="313"/>
      <c r="H66" s="317"/>
      <c r="I66" s="317"/>
      <c r="J66" s="225"/>
      <c r="K66" s="208"/>
      <c r="L66" s="47">
        <v>553</v>
      </c>
      <c r="M66" s="9"/>
      <c r="N66" s="126"/>
      <c r="O66" s="12"/>
      <c r="P66" s="12"/>
    </row>
    <row r="67" spans="1:16" x14ac:dyDescent="0.25">
      <c r="A67" s="325">
        <f>IF(Info!$J$3&gt;0,Info!$J$3+B67, )</f>
        <v>0</v>
      </c>
      <c r="B67" s="335">
        <v>156</v>
      </c>
      <c r="C67" s="299"/>
      <c r="D67" s="299"/>
      <c r="E67" s="299"/>
      <c r="F67" s="211"/>
      <c r="G67" s="211"/>
      <c r="H67" s="294"/>
      <c r="I67" s="294"/>
      <c r="J67" s="208"/>
      <c r="K67" s="208"/>
      <c r="L67" s="47">
        <v>560</v>
      </c>
      <c r="M67" s="9"/>
      <c r="N67" s="126"/>
      <c r="O67" s="12"/>
      <c r="P67" s="12"/>
    </row>
    <row r="68" spans="1:16" x14ac:dyDescent="0.25">
      <c r="A68" s="325">
        <f>IF(Info!$J$3&gt;0,Info!$J$3+B68, )</f>
        <v>0</v>
      </c>
      <c r="B68" s="381">
        <v>157</v>
      </c>
      <c r="C68" s="299"/>
      <c r="D68" s="299"/>
      <c r="E68" s="299"/>
      <c r="F68" s="211"/>
      <c r="G68" s="211"/>
      <c r="H68" s="294"/>
      <c r="I68" s="294"/>
      <c r="J68" s="208"/>
      <c r="K68" s="208"/>
      <c r="L68" s="47">
        <v>567</v>
      </c>
      <c r="M68" s="9"/>
      <c r="N68" s="126"/>
      <c r="O68" s="12"/>
      <c r="P68" s="12"/>
    </row>
    <row r="69" spans="1:16" x14ac:dyDescent="0.25">
      <c r="A69" s="325">
        <f>IF(Info!$J$3&gt;0,Info!$J$3+B69, )</f>
        <v>0</v>
      </c>
      <c r="B69" s="335">
        <v>158</v>
      </c>
      <c r="C69" s="299"/>
      <c r="D69" s="299"/>
      <c r="E69" s="299"/>
      <c r="F69" s="211"/>
      <c r="G69" s="211"/>
      <c r="H69" s="294"/>
      <c r="I69" s="294"/>
      <c r="J69" s="208"/>
      <c r="K69" s="208"/>
      <c r="L69" s="47">
        <v>574</v>
      </c>
      <c r="M69" s="9"/>
      <c r="N69" s="126"/>
      <c r="O69" s="12"/>
      <c r="P69" s="12"/>
    </row>
    <row r="70" spans="1:16" x14ac:dyDescent="0.25">
      <c r="A70" s="325">
        <f>IF(Info!$J$3&gt;0,Info!$J$3+B70, )</f>
        <v>0</v>
      </c>
      <c r="B70" s="381">
        <v>159</v>
      </c>
      <c r="C70" s="299"/>
      <c r="D70" s="299"/>
      <c r="E70" s="299"/>
      <c r="F70" s="211"/>
      <c r="G70" s="211"/>
      <c r="H70" s="294"/>
      <c r="I70" s="294"/>
      <c r="J70" s="208"/>
      <c r="K70" s="208"/>
      <c r="L70" s="47">
        <v>581</v>
      </c>
      <c r="M70" s="9"/>
      <c r="N70" s="126"/>
      <c r="O70" s="12"/>
      <c r="P70" s="12"/>
    </row>
    <row r="71" spans="1:16" x14ac:dyDescent="0.25">
      <c r="A71" s="325">
        <f>IF(Info!$J$3&gt;0,Info!$J$3+B71, )</f>
        <v>0</v>
      </c>
      <c r="B71" s="335">
        <v>160</v>
      </c>
      <c r="C71" s="299"/>
      <c r="D71" s="299"/>
      <c r="E71" s="299"/>
      <c r="F71" s="211"/>
      <c r="G71" s="211"/>
      <c r="H71" s="294"/>
      <c r="I71" s="294"/>
      <c r="J71" s="208"/>
      <c r="K71" s="208"/>
      <c r="L71" s="47">
        <v>588</v>
      </c>
      <c r="M71" s="9"/>
      <c r="N71" s="126"/>
      <c r="O71" s="12"/>
      <c r="P71" s="12"/>
    </row>
    <row r="72" spans="1:16" x14ac:dyDescent="0.25">
      <c r="A72" s="325">
        <f>IF(Info!$J$3&gt;0,Info!$J$3+B72, )</f>
        <v>0</v>
      </c>
      <c r="B72" s="381">
        <v>161</v>
      </c>
      <c r="C72" s="299"/>
      <c r="D72" s="299"/>
      <c r="E72" s="299"/>
      <c r="F72" s="211"/>
      <c r="G72" s="211"/>
      <c r="H72" s="294"/>
      <c r="I72" s="294"/>
      <c r="J72" s="208"/>
      <c r="K72" s="208"/>
      <c r="L72" s="47">
        <v>595</v>
      </c>
      <c r="M72" s="9"/>
      <c r="N72" s="126"/>
      <c r="O72" s="12"/>
      <c r="P72" s="12"/>
    </row>
    <row r="73" spans="1:16" x14ac:dyDescent="0.25">
      <c r="A73" s="326">
        <f>A72</f>
        <v>0</v>
      </c>
      <c r="B73" s="382" t="str">
        <f>Traducción!$B$24&amp;" 23"</f>
        <v>Sem. 23</v>
      </c>
      <c r="C73" s="307">
        <f t="shared" ref="C73:E73" si="26">SUM(C66:C72)</f>
        <v>0</v>
      </c>
      <c r="D73" s="307">
        <f t="shared" si="26"/>
        <v>0</v>
      </c>
      <c r="E73" s="307">
        <f t="shared" si="26"/>
        <v>0</v>
      </c>
      <c r="F73" s="312">
        <f t="shared" ref="F73:G73" si="27">IFERROR(AVERAGE(F66:F72), )</f>
        <v>0</v>
      </c>
      <c r="G73" s="312">
        <f t="shared" si="27"/>
        <v>0</v>
      </c>
      <c r="H73" s="316">
        <f t="shared" ref="H73:I73" si="28">SUM(H66:H72)</f>
        <v>0</v>
      </c>
      <c r="I73" s="316">
        <f t="shared" si="28"/>
        <v>0</v>
      </c>
      <c r="J73" s="329">
        <f t="shared" ref="J73" si="29">IFERROR(AVERAGE(J66:J72), )</f>
        <v>0</v>
      </c>
      <c r="K73" s="224"/>
      <c r="L73" s="47">
        <v>602</v>
      </c>
      <c r="M73" s="9"/>
      <c r="N73" s="126"/>
      <c r="O73" s="12"/>
      <c r="P73" s="12"/>
    </row>
    <row r="74" spans="1:16" x14ac:dyDescent="0.25">
      <c r="A74" s="325">
        <f>IF(Info!$J$3&gt;0,Info!$J$3+B74, )</f>
        <v>0</v>
      </c>
      <c r="B74" s="335">
        <v>162</v>
      </c>
      <c r="C74" s="308"/>
      <c r="D74" s="308"/>
      <c r="E74" s="308"/>
      <c r="F74" s="313"/>
      <c r="G74" s="313"/>
      <c r="H74" s="317"/>
      <c r="I74" s="317"/>
      <c r="J74" s="225"/>
      <c r="K74" s="208"/>
      <c r="L74" s="47">
        <v>609</v>
      </c>
      <c r="M74" s="9"/>
      <c r="N74" s="126"/>
      <c r="O74" s="12"/>
      <c r="P74" s="12"/>
    </row>
    <row r="75" spans="1:16" x14ac:dyDescent="0.25">
      <c r="A75" s="325">
        <f>IF(Info!$J$3&gt;0,Info!$J$3+B75, )</f>
        <v>0</v>
      </c>
      <c r="B75" s="381">
        <v>163</v>
      </c>
      <c r="C75" s="299"/>
      <c r="D75" s="299"/>
      <c r="E75" s="299"/>
      <c r="F75" s="211"/>
      <c r="G75" s="211"/>
      <c r="H75" s="294"/>
      <c r="I75" s="294"/>
      <c r="J75" s="208"/>
      <c r="K75" s="208"/>
      <c r="L75" s="47">
        <v>616</v>
      </c>
      <c r="M75" s="9"/>
      <c r="N75" s="126"/>
      <c r="O75" s="12"/>
      <c r="P75" s="12"/>
    </row>
    <row r="76" spans="1:16" x14ac:dyDescent="0.25">
      <c r="A76" s="325">
        <f>IF(Info!$J$3&gt;0,Info!$J$3+B76, )</f>
        <v>0</v>
      </c>
      <c r="B76" s="335">
        <v>164</v>
      </c>
      <c r="C76" s="299"/>
      <c r="D76" s="299"/>
      <c r="E76" s="299"/>
      <c r="F76" s="211"/>
      <c r="G76" s="211"/>
      <c r="H76" s="294"/>
      <c r="I76" s="294"/>
      <c r="J76" s="208"/>
      <c r="K76" s="208"/>
      <c r="L76" s="47">
        <v>623</v>
      </c>
      <c r="M76" s="9"/>
      <c r="N76" s="126"/>
      <c r="O76" s="12"/>
      <c r="P76" s="12"/>
    </row>
    <row r="77" spans="1:16" x14ac:dyDescent="0.25">
      <c r="A77" s="325">
        <f>IF(Info!$J$3&gt;0,Info!$J$3+B77, )</f>
        <v>0</v>
      </c>
      <c r="B77" s="381">
        <v>165</v>
      </c>
      <c r="C77" s="299"/>
      <c r="D77" s="299"/>
      <c r="E77" s="299"/>
      <c r="F77" s="211"/>
      <c r="G77" s="211"/>
      <c r="H77" s="294"/>
      <c r="I77" s="294"/>
      <c r="J77" s="208"/>
      <c r="K77" s="208"/>
      <c r="L77" s="47">
        <v>630</v>
      </c>
      <c r="M77" s="9"/>
      <c r="N77" s="126"/>
      <c r="O77" s="12"/>
      <c r="P77" s="12"/>
    </row>
    <row r="78" spans="1:16" x14ac:dyDescent="0.25">
      <c r="A78" s="325">
        <f>IF(Info!$J$3&gt;0,Info!$J$3+B78, )</f>
        <v>0</v>
      </c>
      <c r="B78" s="335">
        <v>166</v>
      </c>
      <c r="C78" s="299"/>
      <c r="D78" s="299"/>
      <c r="E78" s="299"/>
      <c r="F78" s="211"/>
      <c r="G78" s="211"/>
      <c r="H78" s="294"/>
      <c r="I78" s="294"/>
      <c r="J78" s="208"/>
      <c r="K78" s="208"/>
      <c r="L78" s="47">
        <v>637</v>
      </c>
      <c r="M78" s="9"/>
      <c r="N78" s="126"/>
      <c r="O78" s="12"/>
      <c r="P78" s="12"/>
    </row>
    <row r="79" spans="1:16" x14ac:dyDescent="0.25">
      <c r="A79" s="325">
        <f>IF(Info!$J$3&gt;0,Info!$J$3+B79, )</f>
        <v>0</v>
      </c>
      <c r="B79" s="381">
        <v>167</v>
      </c>
      <c r="C79" s="299"/>
      <c r="D79" s="299"/>
      <c r="E79" s="299"/>
      <c r="F79" s="211"/>
      <c r="G79" s="211"/>
      <c r="H79" s="294"/>
      <c r="I79" s="294"/>
      <c r="J79" s="208"/>
      <c r="K79" s="208"/>
      <c r="L79" s="47">
        <v>644</v>
      </c>
      <c r="M79" s="9"/>
      <c r="N79" s="126"/>
      <c r="O79" s="12"/>
      <c r="P79" s="12"/>
    </row>
    <row r="80" spans="1:16" x14ac:dyDescent="0.25">
      <c r="A80" s="325">
        <f>IF(Info!$J$3&gt;0,Info!$J$3+B80, )</f>
        <v>0</v>
      </c>
      <c r="B80" s="335">
        <v>168</v>
      </c>
      <c r="C80" s="299"/>
      <c r="D80" s="299"/>
      <c r="E80" s="299"/>
      <c r="F80" s="211"/>
      <c r="G80" s="211"/>
      <c r="H80" s="294"/>
      <c r="I80" s="294"/>
      <c r="J80" s="208"/>
      <c r="K80" s="208"/>
      <c r="L80" s="47">
        <v>651</v>
      </c>
      <c r="M80" s="9"/>
      <c r="N80" s="126"/>
      <c r="O80" s="12"/>
      <c r="P80" s="12"/>
    </row>
    <row r="81" spans="1:16" x14ac:dyDescent="0.25">
      <c r="A81" s="326">
        <f>A80</f>
        <v>0</v>
      </c>
      <c r="B81" s="382" t="str">
        <f>Traducción!$B$24&amp;" 24"</f>
        <v>Sem. 24</v>
      </c>
      <c r="C81" s="307">
        <f t="shared" ref="C81:E81" si="30">SUM(C74:C80)</f>
        <v>0</v>
      </c>
      <c r="D81" s="307">
        <f t="shared" si="30"/>
        <v>0</v>
      </c>
      <c r="E81" s="307">
        <f t="shared" si="30"/>
        <v>0</v>
      </c>
      <c r="F81" s="312">
        <f t="shared" ref="F81:G81" si="31">IFERROR(AVERAGE(F74:F80), )</f>
        <v>0</v>
      </c>
      <c r="G81" s="312">
        <f t="shared" si="31"/>
        <v>0</v>
      </c>
      <c r="H81" s="316">
        <f t="shared" ref="H81:I81" si="32">SUM(H74:H80)</f>
        <v>0</v>
      </c>
      <c r="I81" s="316">
        <f t="shared" si="32"/>
        <v>0</v>
      </c>
      <c r="J81" s="329">
        <f t="shared" ref="J81" si="33">IFERROR(AVERAGE(J74:J80), )</f>
        <v>0</v>
      </c>
      <c r="K81" s="224"/>
      <c r="L81" s="47">
        <v>658</v>
      </c>
      <c r="M81" s="9"/>
      <c r="N81" s="126"/>
      <c r="O81" s="12"/>
      <c r="P81" s="12"/>
    </row>
    <row r="82" spans="1:16" x14ac:dyDescent="0.25">
      <c r="A82" s="325">
        <f>IF(Info!$J$3&gt;0,Info!$J$3+B82, )</f>
        <v>0</v>
      </c>
      <c r="B82" s="381">
        <v>169</v>
      </c>
      <c r="C82" s="308"/>
      <c r="D82" s="308"/>
      <c r="E82" s="308"/>
      <c r="F82" s="313"/>
      <c r="G82" s="313"/>
      <c r="H82" s="317"/>
      <c r="I82" s="317"/>
      <c r="J82" s="225"/>
      <c r="K82" s="208"/>
      <c r="L82" s="47">
        <v>665</v>
      </c>
      <c r="M82" s="9"/>
      <c r="N82" s="126"/>
      <c r="O82" s="12"/>
      <c r="P82" s="12"/>
    </row>
    <row r="83" spans="1:16" x14ac:dyDescent="0.25">
      <c r="A83" s="325">
        <f>IF(Info!$J$3&gt;0,Info!$J$3+B83, )</f>
        <v>0</v>
      </c>
      <c r="B83" s="335">
        <v>170</v>
      </c>
      <c r="C83" s="299"/>
      <c r="D83" s="299"/>
      <c r="E83" s="299"/>
      <c r="F83" s="211"/>
      <c r="G83" s="211"/>
      <c r="H83" s="294"/>
      <c r="I83" s="294"/>
      <c r="J83" s="208"/>
      <c r="K83" s="208"/>
      <c r="L83" s="47">
        <v>672</v>
      </c>
      <c r="M83" s="9"/>
      <c r="N83" s="126"/>
      <c r="O83" s="12"/>
      <c r="P83" s="12"/>
    </row>
    <row r="84" spans="1:16" x14ac:dyDescent="0.25">
      <c r="A84" s="325">
        <f>IF(Info!$J$3&gt;0,Info!$J$3+B84, )</f>
        <v>0</v>
      </c>
      <c r="B84" s="381">
        <v>171</v>
      </c>
      <c r="C84" s="299"/>
      <c r="D84" s="299"/>
      <c r="E84" s="299"/>
      <c r="F84" s="211"/>
      <c r="G84" s="211"/>
      <c r="H84" s="294"/>
      <c r="I84" s="294"/>
      <c r="J84" s="208"/>
      <c r="K84" s="208"/>
      <c r="L84" s="47">
        <v>679</v>
      </c>
      <c r="M84" s="9"/>
      <c r="N84" s="126"/>
      <c r="O84" s="12"/>
      <c r="P84" s="12"/>
    </row>
    <row r="85" spans="1:16" x14ac:dyDescent="0.25">
      <c r="A85" s="325">
        <f>IF(Info!$J$3&gt;0,Info!$J$3+B85, )</f>
        <v>0</v>
      </c>
      <c r="B85" s="335">
        <v>172</v>
      </c>
      <c r="C85" s="299"/>
      <c r="D85" s="299"/>
      <c r="E85" s="299"/>
      <c r="F85" s="211"/>
      <c r="G85" s="211"/>
      <c r="H85" s="294"/>
      <c r="I85" s="294"/>
      <c r="J85" s="208"/>
      <c r="K85" s="208"/>
      <c r="L85" s="47">
        <v>686</v>
      </c>
      <c r="M85" s="9"/>
      <c r="N85" s="126"/>
      <c r="O85" s="12"/>
      <c r="P85" s="12"/>
    </row>
    <row r="86" spans="1:16" x14ac:dyDescent="0.25">
      <c r="A86" s="325">
        <f>IF(Info!$J$3&gt;0,Info!$J$3+B86, )</f>
        <v>0</v>
      </c>
      <c r="B86" s="381">
        <v>173</v>
      </c>
      <c r="C86" s="299"/>
      <c r="D86" s="299"/>
      <c r="E86" s="299"/>
      <c r="F86" s="211"/>
      <c r="G86" s="211"/>
      <c r="H86" s="294"/>
      <c r="I86" s="294"/>
      <c r="J86" s="208"/>
      <c r="K86" s="208"/>
      <c r="L86" s="47">
        <v>693</v>
      </c>
      <c r="M86" s="9"/>
      <c r="N86" s="126"/>
      <c r="O86" s="12"/>
      <c r="P86" s="12"/>
    </row>
    <row r="87" spans="1:16" x14ac:dyDescent="0.25">
      <c r="A87" s="325">
        <f>IF(Info!$J$3&gt;0,Info!$J$3+B87, )</f>
        <v>0</v>
      </c>
      <c r="B87" s="335">
        <v>174</v>
      </c>
      <c r="C87" s="299"/>
      <c r="D87" s="299"/>
      <c r="E87" s="299"/>
      <c r="F87" s="211"/>
      <c r="G87" s="211"/>
      <c r="H87" s="294"/>
      <c r="I87" s="294"/>
      <c r="J87" s="208"/>
      <c r="K87" s="208"/>
      <c r="L87" s="47">
        <v>700</v>
      </c>
      <c r="M87" s="9"/>
      <c r="N87" s="126"/>
      <c r="O87" s="12"/>
      <c r="P87" s="12"/>
    </row>
    <row r="88" spans="1:16" x14ac:dyDescent="0.25">
      <c r="A88" s="325">
        <f>IF(Info!$J$3&gt;0,Info!$J$3+B88, )</f>
        <v>0</v>
      </c>
      <c r="B88" s="381">
        <v>175</v>
      </c>
      <c r="C88" s="299"/>
      <c r="D88" s="299"/>
      <c r="E88" s="299"/>
      <c r="F88" s="211"/>
      <c r="G88" s="211"/>
      <c r="H88" s="294"/>
      <c r="I88" s="294"/>
      <c r="J88" s="208"/>
      <c r="K88" s="208"/>
      <c r="L88" s="47">
        <v>707</v>
      </c>
      <c r="M88" s="12"/>
      <c r="N88" s="126"/>
      <c r="O88" s="12"/>
      <c r="P88" s="12"/>
    </row>
    <row r="89" spans="1:16" x14ac:dyDescent="0.25">
      <c r="A89" s="326">
        <f>A88</f>
        <v>0</v>
      </c>
      <c r="B89" s="382" t="str">
        <f>Traducción!$B$24&amp;" 25"</f>
        <v>Sem. 25</v>
      </c>
      <c r="C89" s="307">
        <f t="shared" ref="C89:E89" si="34">SUM(C82:C88)</f>
        <v>0</v>
      </c>
      <c r="D89" s="307">
        <f t="shared" si="34"/>
        <v>0</v>
      </c>
      <c r="E89" s="307">
        <f t="shared" si="34"/>
        <v>0</v>
      </c>
      <c r="F89" s="312">
        <f t="shared" ref="F89:G89" si="35">IFERROR(AVERAGE(F82:F88), )</f>
        <v>0</v>
      </c>
      <c r="G89" s="312">
        <f t="shared" si="35"/>
        <v>0</v>
      </c>
      <c r="H89" s="316">
        <f t="shared" ref="H89:I89" si="36">SUM(H82:H88)</f>
        <v>0</v>
      </c>
      <c r="I89" s="316">
        <f t="shared" si="36"/>
        <v>0</v>
      </c>
      <c r="J89" s="329">
        <f t="shared" ref="J89" si="37">IFERROR(AVERAGE(J82:J88), )</f>
        <v>0</v>
      </c>
      <c r="K89" s="224"/>
      <c r="L89" s="47">
        <v>714</v>
      </c>
      <c r="M89" s="12"/>
      <c r="N89" s="126"/>
      <c r="O89" s="12"/>
      <c r="P89" s="12"/>
    </row>
    <row r="90" spans="1:16" x14ac:dyDescent="0.25">
      <c r="A90" s="325">
        <f>IF(Info!$J$3&gt;0,Info!$J$3+B90, )</f>
        <v>0</v>
      </c>
      <c r="B90" s="335">
        <v>176</v>
      </c>
      <c r="C90" s="308"/>
      <c r="D90" s="308"/>
      <c r="E90" s="308"/>
      <c r="F90" s="313"/>
      <c r="G90" s="313"/>
      <c r="H90" s="317"/>
      <c r="I90" s="317"/>
      <c r="J90" s="225"/>
      <c r="K90" s="208"/>
      <c r="L90" s="47">
        <v>721</v>
      </c>
      <c r="M90" s="12"/>
      <c r="N90" s="126"/>
      <c r="O90" s="12"/>
      <c r="P90" s="12"/>
    </row>
    <row r="91" spans="1:16" x14ac:dyDescent="0.25">
      <c r="A91" s="325">
        <f>IF(Info!$J$3&gt;0,Info!$J$3+B91, )</f>
        <v>0</v>
      </c>
      <c r="B91" s="381">
        <v>177</v>
      </c>
      <c r="C91" s="299"/>
      <c r="D91" s="299"/>
      <c r="E91" s="299"/>
      <c r="F91" s="211"/>
      <c r="G91" s="211"/>
      <c r="H91" s="294"/>
      <c r="I91" s="294"/>
      <c r="J91" s="208"/>
      <c r="K91" s="208"/>
      <c r="L91" s="47">
        <v>728</v>
      </c>
      <c r="M91" s="12"/>
      <c r="N91" s="126"/>
      <c r="O91" s="12"/>
      <c r="P91" s="12"/>
    </row>
    <row r="92" spans="1:16" x14ac:dyDescent="0.25">
      <c r="A92" s="325">
        <f>IF(Info!$J$3&gt;0,Info!$J$3+B92, )</f>
        <v>0</v>
      </c>
      <c r="B92" s="335">
        <v>178</v>
      </c>
      <c r="C92" s="299"/>
      <c r="D92" s="299"/>
      <c r="E92" s="299"/>
      <c r="F92" s="211"/>
      <c r="G92" s="211"/>
      <c r="H92" s="294"/>
      <c r="I92" s="294"/>
      <c r="J92" s="208"/>
      <c r="K92" s="208"/>
      <c r="L92" s="47">
        <v>735</v>
      </c>
      <c r="M92" s="12"/>
      <c r="N92" s="126"/>
      <c r="O92" s="12"/>
      <c r="P92" s="12"/>
    </row>
    <row r="93" spans="1:16" x14ac:dyDescent="0.25">
      <c r="A93" s="325">
        <f>IF(Info!$J$3&gt;0,Info!$J$3+B93, )</f>
        <v>0</v>
      </c>
      <c r="B93" s="381">
        <v>179</v>
      </c>
      <c r="C93" s="299"/>
      <c r="D93" s="299"/>
      <c r="E93" s="299"/>
      <c r="F93" s="211"/>
      <c r="G93" s="211"/>
      <c r="H93" s="294"/>
      <c r="I93" s="294"/>
      <c r="J93" s="208"/>
      <c r="K93" s="208"/>
      <c r="L93" s="47">
        <v>742</v>
      </c>
      <c r="M93" s="12"/>
      <c r="N93" s="126"/>
      <c r="O93" s="12"/>
      <c r="P93" s="12"/>
    </row>
    <row r="94" spans="1:16" x14ac:dyDescent="0.25">
      <c r="A94" s="325">
        <f>IF(Info!$J$3&gt;0,Info!$J$3+B94, )</f>
        <v>0</v>
      </c>
      <c r="B94" s="335">
        <v>180</v>
      </c>
      <c r="C94" s="299"/>
      <c r="D94" s="299"/>
      <c r="E94" s="299"/>
      <c r="F94" s="211"/>
      <c r="G94" s="211"/>
      <c r="H94" s="294"/>
      <c r="I94" s="294"/>
      <c r="J94" s="208"/>
      <c r="K94" s="208"/>
      <c r="L94" s="47">
        <v>749</v>
      </c>
      <c r="M94" s="12"/>
      <c r="N94" s="126"/>
      <c r="O94" s="12"/>
      <c r="P94" s="12"/>
    </row>
    <row r="95" spans="1:16" x14ac:dyDescent="0.25">
      <c r="A95" s="325">
        <f>IF(Info!$J$3&gt;0,Info!$J$3+B95, )</f>
        <v>0</v>
      </c>
      <c r="B95" s="381">
        <v>181</v>
      </c>
      <c r="C95" s="299"/>
      <c r="D95" s="299"/>
      <c r="E95" s="299"/>
      <c r="F95" s="211"/>
      <c r="G95" s="211"/>
      <c r="H95" s="294"/>
      <c r="I95" s="294"/>
      <c r="J95" s="208"/>
      <c r="K95" s="208"/>
      <c r="L95" s="47">
        <v>756</v>
      </c>
      <c r="M95" s="12"/>
      <c r="N95" s="126"/>
      <c r="O95" s="12"/>
      <c r="P95" s="12"/>
    </row>
    <row r="96" spans="1:16" x14ac:dyDescent="0.25">
      <c r="A96" s="325">
        <f>IF(Info!$J$3&gt;0,Info!$J$3+B96, )</f>
        <v>0</v>
      </c>
      <c r="B96" s="335">
        <v>182</v>
      </c>
      <c r="C96" s="299"/>
      <c r="D96" s="299"/>
      <c r="E96" s="299"/>
      <c r="F96" s="211"/>
      <c r="G96" s="211"/>
      <c r="H96" s="294"/>
      <c r="I96" s="294"/>
      <c r="J96" s="208"/>
      <c r="K96" s="208"/>
      <c r="L96" s="47">
        <v>763</v>
      </c>
      <c r="M96" s="12"/>
      <c r="N96" s="126"/>
      <c r="O96" s="12"/>
      <c r="P96" s="12"/>
    </row>
    <row r="97" spans="1:16" x14ac:dyDescent="0.25">
      <c r="A97" s="326">
        <f>A96</f>
        <v>0</v>
      </c>
      <c r="B97" s="382" t="str">
        <f>Traducción!$B$24&amp;" 26"</f>
        <v>Sem. 26</v>
      </c>
      <c r="C97" s="307">
        <f t="shared" ref="C97:E97" si="38">SUM(C90:C96)</f>
        <v>0</v>
      </c>
      <c r="D97" s="307">
        <f t="shared" si="38"/>
        <v>0</v>
      </c>
      <c r="E97" s="307">
        <f t="shared" si="38"/>
        <v>0</v>
      </c>
      <c r="F97" s="312">
        <f t="shared" ref="F97:G97" si="39">IFERROR(AVERAGE(F90:F96), )</f>
        <v>0</v>
      </c>
      <c r="G97" s="312">
        <f t="shared" si="39"/>
        <v>0</v>
      </c>
      <c r="H97" s="316">
        <f t="shared" ref="H97:I97" si="40">SUM(H90:H96)</f>
        <v>0</v>
      </c>
      <c r="I97" s="316">
        <f t="shared" si="40"/>
        <v>0</v>
      </c>
      <c r="J97" s="329">
        <f t="shared" ref="J97" si="41">IFERROR(AVERAGE(J90:J96), )</f>
        <v>0</v>
      </c>
      <c r="K97" s="224"/>
      <c r="L97" s="47">
        <v>770</v>
      </c>
      <c r="M97" s="12"/>
      <c r="N97" s="126"/>
      <c r="O97" s="12"/>
      <c r="P97" s="12"/>
    </row>
    <row r="98" spans="1:16" x14ac:dyDescent="0.25">
      <c r="A98" s="325">
        <f>IF(Info!$J$3&gt;0,Info!$J$3+B98, )</f>
        <v>0</v>
      </c>
      <c r="B98" s="381">
        <v>183</v>
      </c>
      <c r="C98" s="308"/>
      <c r="D98" s="308"/>
      <c r="E98" s="308"/>
      <c r="F98" s="313"/>
      <c r="G98" s="313"/>
      <c r="H98" s="317"/>
      <c r="I98" s="317"/>
      <c r="J98" s="225"/>
      <c r="K98" s="208"/>
      <c r="L98" s="47">
        <v>777</v>
      </c>
      <c r="M98" s="12"/>
      <c r="N98" s="126"/>
      <c r="O98" s="12"/>
      <c r="P98" s="12"/>
    </row>
    <row r="99" spans="1:16" x14ac:dyDescent="0.25">
      <c r="A99" s="325">
        <f>IF(Info!$J$3&gt;0,Info!$J$3+B99, )</f>
        <v>0</v>
      </c>
      <c r="B99" s="335">
        <v>184</v>
      </c>
      <c r="C99" s="299"/>
      <c r="D99" s="299"/>
      <c r="E99" s="299"/>
      <c r="F99" s="211"/>
      <c r="G99" s="211"/>
      <c r="H99" s="294"/>
      <c r="I99" s="294"/>
      <c r="J99" s="208"/>
      <c r="K99" s="208"/>
      <c r="L99" s="47">
        <v>784</v>
      </c>
      <c r="M99" s="1"/>
      <c r="N99" s="127"/>
      <c r="O99" s="1"/>
      <c r="P99" s="1"/>
    </row>
    <row r="100" spans="1:16" x14ac:dyDescent="0.25">
      <c r="A100" s="325">
        <f>IF(Info!$J$3&gt;0,Info!$J$3+B100, )</f>
        <v>0</v>
      </c>
      <c r="B100" s="381">
        <v>185</v>
      </c>
      <c r="C100" s="299"/>
      <c r="D100" s="299"/>
      <c r="E100" s="299"/>
      <c r="F100" s="211"/>
      <c r="G100" s="211"/>
      <c r="H100" s="294"/>
      <c r="I100" s="294"/>
      <c r="J100" s="208"/>
      <c r="K100" s="208"/>
      <c r="L100" s="47">
        <v>791</v>
      </c>
      <c r="M100" s="1"/>
      <c r="N100" s="127"/>
      <c r="O100" s="1"/>
      <c r="P100" s="1"/>
    </row>
    <row r="101" spans="1:16" x14ac:dyDescent="0.25">
      <c r="A101" s="325">
        <f>IF(Info!$J$3&gt;0,Info!$J$3+B101, )</f>
        <v>0</v>
      </c>
      <c r="B101" s="335">
        <v>186</v>
      </c>
      <c r="C101" s="299"/>
      <c r="D101" s="299"/>
      <c r="E101" s="299"/>
      <c r="F101" s="211"/>
      <c r="G101" s="211"/>
      <c r="H101" s="294"/>
      <c r="I101" s="294"/>
      <c r="J101" s="208"/>
      <c r="K101" s="208"/>
      <c r="L101" s="47">
        <v>798</v>
      </c>
      <c r="M101" s="1"/>
      <c r="N101" s="127"/>
      <c r="O101" s="1"/>
      <c r="P101" s="1"/>
    </row>
    <row r="102" spans="1:16" x14ac:dyDescent="0.25">
      <c r="A102" s="325">
        <f>IF(Info!$J$3&gt;0,Info!$J$3+B102, )</f>
        <v>0</v>
      </c>
      <c r="B102" s="381">
        <v>187</v>
      </c>
      <c r="C102" s="299"/>
      <c r="D102" s="299"/>
      <c r="E102" s="299"/>
      <c r="F102" s="211"/>
      <c r="G102" s="211"/>
      <c r="H102" s="294"/>
      <c r="I102" s="294"/>
      <c r="J102" s="208"/>
      <c r="K102" s="208"/>
      <c r="L102" s="47">
        <v>805</v>
      </c>
      <c r="M102" s="1"/>
      <c r="N102" s="127"/>
      <c r="O102" s="1"/>
      <c r="P102" s="1"/>
    </row>
    <row r="103" spans="1:16" x14ac:dyDescent="0.25">
      <c r="A103" s="325">
        <f>IF(Info!$J$3&gt;0,Info!$J$3+B103, )</f>
        <v>0</v>
      </c>
      <c r="B103" s="335">
        <v>188</v>
      </c>
      <c r="C103" s="299"/>
      <c r="D103" s="299"/>
      <c r="E103" s="299"/>
      <c r="F103" s="211"/>
      <c r="G103" s="211"/>
      <c r="H103" s="294"/>
      <c r="I103" s="294"/>
      <c r="J103" s="208"/>
      <c r="K103" s="208"/>
      <c r="L103" s="47">
        <v>812</v>
      </c>
      <c r="M103" s="1"/>
      <c r="N103" s="127"/>
      <c r="O103" s="1"/>
      <c r="P103" s="1"/>
    </row>
    <row r="104" spans="1:16" x14ac:dyDescent="0.25">
      <c r="A104" s="325">
        <f>IF(Info!$J$3&gt;0,Info!$J$3+B104, )</f>
        <v>0</v>
      </c>
      <c r="B104" s="381">
        <v>189</v>
      </c>
      <c r="C104" s="299"/>
      <c r="D104" s="299"/>
      <c r="E104" s="299"/>
      <c r="F104" s="211"/>
      <c r="G104" s="211"/>
      <c r="H104" s="294"/>
      <c r="I104" s="294"/>
      <c r="J104" s="208"/>
      <c r="K104" s="208"/>
      <c r="L104" s="47">
        <v>819</v>
      </c>
      <c r="M104" s="1"/>
      <c r="N104" s="127"/>
      <c r="O104" s="1"/>
      <c r="P104" s="1"/>
    </row>
    <row r="105" spans="1:16" x14ac:dyDescent="0.25">
      <c r="A105" s="326">
        <f>A104</f>
        <v>0</v>
      </c>
      <c r="B105" s="382" t="str">
        <f>Traducción!$B$24&amp;" 27"</f>
        <v>Sem. 27</v>
      </c>
      <c r="C105" s="307">
        <f t="shared" ref="C105:E105" si="42">SUM(C98:C104)</f>
        <v>0</v>
      </c>
      <c r="D105" s="307">
        <f t="shared" si="42"/>
        <v>0</v>
      </c>
      <c r="E105" s="307">
        <f t="shared" si="42"/>
        <v>0</v>
      </c>
      <c r="F105" s="312">
        <f t="shared" ref="F105:G105" si="43">IFERROR(AVERAGE(F98:F104), )</f>
        <v>0</v>
      </c>
      <c r="G105" s="312">
        <f t="shared" si="43"/>
        <v>0</v>
      </c>
      <c r="H105" s="316">
        <f t="shared" ref="H105:I105" si="44">SUM(H98:H104)</f>
        <v>0</v>
      </c>
      <c r="I105" s="316">
        <f t="shared" si="44"/>
        <v>0</v>
      </c>
      <c r="J105" s="329">
        <f t="shared" ref="J105" si="45">IFERROR(AVERAGE(J98:J104), )</f>
        <v>0</v>
      </c>
      <c r="K105" s="224"/>
      <c r="L105" s="47">
        <v>826</v>
      </c>
      <c r="M105" s="1"/>
      <c r="N105" s="127"/>
      <c r="O105" s="1"/>
      <c r="P105" s="1"/>
    </row>
    <row r="106" spans="1:16" x14ac:dyDescent="0.25">
      <c r="A106" s="325">
        <f>IF(Info!$J$3&gt;0,Info!$J$3+B106, )</f>
        <v>0</v>
      </c>
      <c r="B106" s="335">
        <v>190</v>
      </c>
      <c r="C106" s="308"/>
      <c r="D106" s="308"/>
      <c r="E106" s="308"/>
      <c r="F106" s="313"/>
      <c r="G106" s="313"/>
      <c r="H106" s="317"/>
      <c r="I106" s="317"/>
      <c r="J106" s="225"/>
      <c r="K106" s="208"/>
      <c r="L106" s="47">
        <v>833</v>
      </c>
      <c r="M106" s="1"/>
      <c r="N106" s="127"/>
      <c r="O106" s="1"/>
      <c r="P106" s="1"/>
    </row>
    <row r="107" spans="1:16" x14ac:dyDescent="0.25">
      <c r="A107" s="325">
        <f>IF(Info!$J$3&gt;0,Info!$J$3+B107, )</f>
        <v>0</v>
      </c>
      <c r="B107" s="381">
        <v>191</v>
      </c>
      <c r="C107" s="299"/>
      <c r="D107" s="299"/>
      <c r="E107" s="299"/>
      <c r="F107" s="211"/>
      <c r="G107" s="211"/>
      <c r="H107" s="294"/>
      <c r="I107" s="294"/>
      <c r="J107" s="208"/>
      <c r="K107" s="208"/>
      <c r="L107" s="47">
        <v>840</v>
      </c>
      <c r="M107" s="1"/>
      <c r="N107" s="127"/>
      <c r="O107" s="1"/>
      <c r="P107" s="1"/>
    </row>
    <row r="108" spans="1:16" x14ac:dyDescent="0.25">
      <c r="A108" s="325">
        <f>IF(Info!$J$3&gt;0,Info!$J$3+B108, )</f>
        <v>0</v>
      </c>
      <c r="B108" s="335">
        <v>192</v>
      </c>
      <c r="C108" s="299"/>
      <c r="D108" s="299"/>
      <c r="E108" s="299"/>
      <c r="F108" s="211"/>
      <c r="G108" s="211"/>
      <c r="H108" s="294"/>
      <c r="I108" s="294"/>
      <c r="J108" s="208"/>
      <c r="K108" s="208"/>
    </row>
    <row r="109" spans="1:16" x14ac:dyDescent="0.25">
      <c r="A109" s="325">
        <f>IF(Info!$J$3&gt;0,Info!$J$3+B109, )</f>
        <v>0</v>
      </c>
      <c r="B109" s="381">
        <v>193</v>
      </c>
      <c r="C109" s="299"/>
      <c r="D109" s="299"/>
      <c r="E109" s="299"/>
      <c r="F109" s="211"/>
      <c r="G109" s="211"/>
      <c r="H109" s="294"/>
      <c r="I109" s="294"/>
      <c r="J109" s="208"/>
      <c r="K109" s="208"/>
    </row>
    <row r="110" spans="1:16" x14ac:dyDescent="0.25">
      <c r="A110" s="325">
        <f>IF(Info!$J$3&gt;0,Info!$J$3+B110, )</f>
        <v>0</v>
      </c>
      <c r="B110" s="335">
        <v>194</v>
      </c>
      <c r="C110" s="299"/>
      <c r="D110" s="299"/>
      <c r="E110" s="299"/>
      <c r="F110" s="211"/>
      <c r="G110" s="211"/>
      <c r="H110" s="294"/>
      <c r="I110" s="294"/>
      <c r="J110" s="208"/>
      <c r="K110" s="208"/>
    </row>
    <row r="111" spans="1:16" x14ac:dyDescent="0.25">
      <c r="A111" s="325">
        <f>IF(Info!$J$3&gt;0,Info!$J$3+B111, )</f>
        <v>0</v>
      </c>
      <c r="B111" s="381">
        <v>195</v>
      </c>
      <c r="C111" s="299"/>
      <c r="D111" s="299"/>
      <c r="E111" s="299"/>
      <c r="F111" s="211"/>
      <c r="G111" s="211"/>
      <c r="H111" s="294"/>
      <c r="I111" s="294"/>
      <c r="J111" s="208"/>
      <c r="K111" s="208"/>
    </row>
    <row r="112" spans="1:16" x14ac:dyDescent="0.25">
      <c r="A112" s="325">
        <f>IF(Info!$J$3&gt;0,Info!$J$3+B112, )</f>
        <v>0</v>
      </c>
      <c r="B112" s="335">
        <v>196</v>
      </c>
      <c r="C112" s="299"/>
      <c r="D112" s="299"/>
      <c r="E112" s="299"/>
      <c r="F112" s="211"/>
      <c r="G112" s="211"/>
      <c r="H112" s="294"/>
      <c r="I112" s="294"/>
      <c r="J112" s="208"/>
      <c r="K112" s="208"/>
    </row>
    <row r="113" spans="1:11" x14ac:dyDescent="0.25">
      <c r="A113" s="326">
        <f>A112</f>
        <v>0</v>
      </c>
      <c r="B113" s="382" t="str">
        <f>Traducción!$B$24&amp;" 28"</f>
        <v>Sem. 28</v>
      </c>
      <c r="C113" s="307">
        <f t="shared" ref="C113:E113" si="46">SUM(C106:C112)</f>
        <v>0</v>
      </c>
      <c r="D113" s="307">
        <f t="shared" si="46"/>
        <v>0</v>
      </c>
      <c r="E113" s="307">
        <f t="shared" si="46"/>
        <v>0</v>
      </c>
      <c r="F113" s="312">
        <f t="shared" ref="F113:G113" si="47">IFERROR(AVERAGE(F106:F112), )</f>
        <v>0</v>
      </c>
      <c r="G113" s="312">
        <f t="shared" si="47"/>
        <v>0</v>
      </c>
      <c r="H113" s="316">
        <f t="shared" ref="H113:I113" si="48">SUM(H106:H112)</f>
        <v>0</v>
      </c>
      <c r="I113" s="316">
        <f t="shared" si="48"/>
        <v>0</v>
      </c>
      <c r="J113" s="329">
        <f t="shared" ref="J113" si="49">IFERROR(AVERAGE(J106:J112), )</f>
        <v>0</v>
      </c>
      <c r="K113" s="224"/>
    </row>
    <row r="114" spans="1:11" x14ac:dyDescent="0.25">
      <c r="A114" s="325">
        <f>IF(Info!$J$3&gt;0,Info!$J$3+B114, )</f>
        <v>0</v>
      </c>
      <c r="B114" s="381">
        <v>197</v>
      </c>
      <c r="C114" s="308"/>
      <c r="D114" s="308"/>
      <c r="E114" s="308"/>
      <c r="F114" s="313"/>
      <c r="G114" s="313"/>
      <c r="H114" s="317"/>
      <c r="I114" s="317"/>
      <c r="J114" s="225"/>
      <c r="K114" s="208"/>
    </row>
    <row r="115" spans="1:11" x14ac:dyDescent="0.25">
      <c r="A115" s="325">
        <f>IF(Info!$J$3&gt;0,Info!$J$3+B115, )</f>
        <v>0</v>
      </c>
      <c r="B115" s="335">
        <v>198</v>
      </c>
      <c r="C115" s="299"/>
      <c r="D115" s="299"/>
      <c r="E115" s="299"/>
      <c r="F115" s="211"/>
      <c r="G115" s="211"/>
      <c r="H115" s="294"/>
      <c r="I115" s="294"/>
      <c r="J115" s="208"/>
      <c r="K115" s="208"/>
    </row>
    <row r="116" spans="1:11" x14ac:dyDescent="0.25">
      <c r="A116" s="325">
        <f>IF(Info!$J$3&gt;0,Info!$J$3+B116, )</f>
        <v>0</v>
      </c>
      <c r="B116" s="381">
        <v>199</v>
      </c>
      <c r="C116" s="299"/>
      <c r="D116" s="299"/>
      <c r="E116" s="299"/>
      <c r="F116" s="211"/>
      <c r="G116" s="211"/>
      <c r="H116" s="294"/>
      <c r="I116" s="294"/>
      <c r="J116" s="208"/>
      <c r="K116" s="208"/>
    </row>
    <row r="117" spans="1:11" x14ac:dyDescent="0.25">
      <c r="A117" s="325">
        <f>IF(Info!$J$3&gt;0,Info!$J$3+B117, )</f>
        <v>0</v>
      </c>
      <c r="B117" s="335">
        <v>200</v>
      </c>
      <c r="C117" s="299"/>
      <c r="D117" s="299"/>
      <c r="E117" s="299"/>
      <c r="F117" s="211"/>
      <c r="G117" s="211"/>
      <c r="H117" s="294"/>
      <c r="I117" s="294"/>
      <c r="J117" s="208"/>
      <c r="K117" s="208"/>
    </row>
    <row r="118" spans="1:11" x14ac:dyDescent="0.25">
      <c r="A118" s="325">
        <f>IF(Info!$J$3&gt;0,Info!$J$3+B118, )</f>
        <v>0</v>
      </c>
      <c r="B118" s="381">
        <v>201</v>
      </c>
      <c r="C118" s="299"/>
      <c r="D118" s="299"/>
      <c r="E118" s="299"/>
      <c r="F118" s="211"/>
      <c r="G118" s="211"/>
      <c r="H118" s="294"/>
      <c r="I118" s="294"/>
      <c r="J118" s="208"/>
      <c r="K118" s="208"/>
    </row>
    <row r="119" spans="1:11" x14ac:dyDescent="0.25">
      <c r="A119" s="325">
        <f>IF(Info!$J$3&gt;0,Info!$J$3+B119, )</f>
        <v>0</v>
      </c>
      <c r="B119" s="335">
        <v>202</v>
      </c>
      <c r="C119" s="299"/>
      <c r="D119" s="299"/>
      <c r="E119" s="299"/>
      <c r="F119" s="211"/>
      <c r="G119" s="211"/>
      <c r="H119" s="294"/>
      <c r="I119" s="294"/>
      <c r="J119" s="208"/>
      <c r="K119" s="208"/>
    </row>
    <row r="120" spans="1:11" x14ac:dyDescent="0.25">
      <c r="A120" s="325">
        <f>IF(Info!$J$3&gt;0,Info!$J$3+B120, )</f>
        <v>0</v>
      </c>
      <c r="B120" s="381">
        <v>203</v>
      </c>
      <c r="C120" s="299"/>
      <c r="D120" s="299"/>
      <c r="E120" s="299"/>
      <c r="F120" s="211"/>
      <c r="G120" s="211"/>
      <c r="H120" s="294"/>
      <c r="I120" s="294"/>
      <c r="J120" s="208"/>
      <c r="K120" s="208"/>
    </row>
    <row r="121" spans="1:11" x14ac:dyDescent="0.25">
      <c r="A121" s="326">
        <f>A120</f>
        <v>0</v>
      </c>
      <c r="B121" s="382" t="str">
        <f>Traducción!$B$24&amp;" 29"</f>
        <v>Sem. 29</v>
      </c>
      <c r="C121" s="307">
        <f t="shared" ref="C121:E121" si="50">SUM(C114:C120)</f>
        <v>0</v>
      </c>
      <c r="D121" s="307">
        <f t="shared" si="50"/>
        <v>0</v>
      </c>
      <c r="E121" s="307">
        <f t="shared" si="50"/>
        <v>0</v>
      </c>
      <c r="F121" s="312">
        <f t="shared" ref="F121:G121" si="51">IFERROR(AVERAGE(F114:F120), )</f>
        <v>0</v>
      </c>
      <c r="G121" s="312">
        <f t="shared" si="51"/>
        <v>0</v>
      </c>
      <c r="H121" s="316">
        <f t="shared" ref="H121:I121" si="52">SUM(H114:H120)</f>
        <v>0</v>
      </c>
      <c r="I121" s="316">
        <f t="shared" si="52"/>
        <v>0</v>
      </c>
      <c r="J121" s="329">
        <f t="shared" ref="J121" si="53">IFERROR(AVERAGE(J114:J120), )</f>
        <v>0</v>
      </c>
      <c r="K121" s="224"/>
    </row>
    <row r="122" spans="1:11" x14ac:dyDescent="0.25">
      <c r="A122" s="325">
        <f>IF(Info!$J$3&gt;0,Info!$J$3+B122, )</f>
        <v>0</v>
      </c>
      <c r="B122" s="335">
        <v>204</v>
      </c>
      <c r="C122" s="308"/>
      <c r="D122" s="308"/>
      <c r="E122" s="308"/>
      <c r="F122" s="313"/>
      <c r="G122" s="313"/>
      <c r="H122" s="317"/>
      <c r="I122" s="317"/>
      <c r="J122" s="225"/>
      <c r="K122" s="208"/>
    </row>
    <row r="123" spans="1:11" x14ac:dyDescent="0.25">
      <c r="A123" s="325">
        <f>IF(Info!$J$3&gt;0,Info!$J$3+B123, )</f>
        <v>0</v>
      </c>
      <c r="B123" s="381">
        <v>205</v>
      </c>
      <c r="C123" s="299"/>
      <c r="D123" s="299"/>
      <c r="E123" s="299"/>
      <c r="F123" s="211"/>
      <c r="G123" s="211"/>
      <c r="H123" s="294"/>
      <c r="I123" s="294"/>
      <c r="J123" s="208"/>
      <c r="K123" s="208"/>
    </row>
    <row r="124" spans="1:11" x14ac:dyDescent="0.25">
      <c r="A124" s="325">
        <f>IF(Info!$J$3&gt;0,Info!$J$3+B124, )</f>
        <v>0</v>
      </c>
      <c r="B124" s="335">
        <v>206</v>
      </c>
      <c r="C124" s="299"/>
      <c r="D124" s="299"/>
      <c r="E124" s="299"/>
      <c r="F124" s="211"/>
      <c r="G124" s="211"/>
      <c r="H124" s="294"/>
      <c r="I124" s="294"/>
      <c r="J124" s="208"/>
      <c r="K124" s="208"/>
    </row>
    <row r="125" spans="1:11" x14ac:dyDescent="0.25">
      <c r="A125" s="325">
        <f>IF(Info!$J$3&gt;0,Info!$J$3+B125, )</f>
        <v>0</v>
      </c>
      <c r="B125" s="381">
        <v>207</v>
      </c>
      <c r="C125" s="299"/>
      <c r="D125" s="299"/>
      <c r="E125" s="299"/>
      <c r="F125" s="211"/>
      <c r="G125" s="211"/>
      <c r="H125" s="294"/>
      <c r="I125" s="294"/>
      <c r="J125" s="208"/>
      <c r="K125" s="208"/>
    </row>
    <row r="126" spans="1:11" x14ac:dyDescent="0.25">
      <c r="A126" s="325">
        <f>IF(Info!$J$3&gt;0,Info!$J$3+B126, )</f>
        <v>0</v>
      </c>
      <c r="B126" s="335">
        <v>208</v>
      </c>
      <c r="C126" s="299"/>
      <c r="D126" s="299"/>
      <c r="E126" s="299"/>
      <c r="F126" s="211"/>
      <c r="G126" s="211"/>
      <c r="H126" s="294"/>
      <c r="I126" s="294"/>
      <c r="J126" s="208"/>
      <c r="K126" s="208"/>
    </row>
    <row r="127" spans="1:11" x14ac:dyDescent="0.25">
      <c r="A127" s="325">
        <f>IF(Info!$J$3&gt;0,Info!$J$3+B127, )</f>
        <v>0</v>
      </c>
      <c r="B127" s="381">
        <v>209</v>
      </c>
      <c r="C127" s="299"/>
      <c r="D127" s="299"/>
      <c r="E127" s="299"/>
      <c r="F127" s="211"/>
      <c r="G127" s="211"/>
      <c r="H127" s="294"/>
      <c r="I127" s="294"/>
      <c r="J127" s="208"/>
      <c r="K127" s="208"/>
    </row>
    <row r="128" spans="1:11" x14ac:dyDescent="0.25">
      <c r="A128" s="325">
        <f>IF(Info!$J$3&gt;0,Info!$J$3+B128, )</f>
        <v>0</v>
      </c>
      <c r="B128" s="335">
        <v>210</v>
      </c>
      <c r="C128" s="299"/>
      <c r="D128" s="299"/>
      <c r="E128" s="299"/>
      <c r="F128" s="211"/>
      <c r="G128" s="211"/>
      <c r="H128" s="294"/>
      <c r="I128" s="294"/>
      <c r="J128" s="208"/>
      <c r="K128" s="208"/>
    </row>
    <row r="129" spans="1:11" x14ac:dyDescent="0.25">
      <c r="A129" s="326">
        <f>A128</f>
        <v>0</v>
      </c>
      <c r="B129" s="382" t="str">
        <f>Traducción!$B$24&amp;" 30"</f>
        <v>Sem. 30</v>
      </c>
      <c r="C129" s="307">
        <f t="shared" ref="C129:E129" si="54">SUM(C122:C128)</f>
        <v>0</v>
      </c>
      <c r="D129" s="307">
        <f t="shared" si="54"/>
        <v>0</v>
      </c>
      <c r="E129" s="307">
        <f t="shared" si="54"/>
        <v>0</v>
      </c>
      <c r="F129" s="312">
        <f t="shared" ref="F129:G129" si="55">IFERROR(AVERAGE(F122:F128), )</f>
        <v>0</v>
      </c>
      <c r="G129" s="312">
        <f t="shared" si="55"/>
        <v>0</v>
      </c>
      <c r="H129" s="316">
        <f t="shared" ref="H129:I129" si="56">SUM(H122:H128)</f>
        <v>0</v>
      </c>
      <c r="I129" s="316">
        <f t="shared" si="56"/>
        <v>0</v>
      </c>
      <c r="J129" s="329">
        <f t="shared" ref="J129" si="57">IFERROR(AVERAGE(J122:J128), )</f>
        <v>0</v>
      </c>
      <c r="K129" s="224"/>
    </row>
    <row r="130" spans="1:11" x14ac:dyDescent="0.25">
      <c r="A130" s="325">
        <f>IF(Info!$J$3&gt;0,Info!$J$3+B130, )</f>
        <v>0</v>
      </c>
      <c r="B130" s="381">
        <v>211</v>
      </c>
      <c r="C130" s="308"/>
      <c r="D130" s="308"/>
      <c r="E130" s="308"/>
      <c r="F130" s="313"/>
      <c r="G130" s="313"/>
      <c r="H130" s="317"/>
      <c r="I130" s="317"/>
      <c r="J130" s="225"/>
      <c r="K130" s="208"/>
    </row>
    <row r="131" spans="1:11" x14ac:dyDescent="0.25">
      <c r="A131" s="325">
        <f>IF(Info!$J$3&gt;0,Info!$J$3+B131, )</f>
        <v>0</v>
      </c>
      <c r="B131" s="335">
        <v>212</v>
      </c>
      <c r="C131" s="299"/>
      <c r="D131" s="299"/>
      <c r="E131" s="299"/>
      <c r="F131" s="211"/>
      <c r="G131" s="211"/>
      <c r="H131" s="294"/>
      <c r="I131" s="294"/>
      <c r="J131" s="208"/>
      <c r="K131" s="208"/>
    </row>
    <row r="132" spans="1:11" x14ac:dyDescent="0.25">
      <c r="A132" s="325">
        <f>IF(Info!$J$3&gt;0,Info!$J$3+B132, )</f>
        <v>0</v>
      </c>
      <c r="B132" s="381">
        <v>213</v>
      </c>
      <c r="C132" s="299"/>
      <c r="D132" s="299"/>
      <c r="E132" s="299"/>
      <c r="F132" s="211"/>
      <c r="G132" s="211"/>
      <c r="H132" s="294"/>
      <c r="I132" s="294"/>
      <c r="J132" s="208"/>
      <c r="K132" s="208"/>
    </row>
    <row r="133" spans="1:11" x14ac:dyDescent="0.25">
      <c r="A133" s="325">
        <f>IF(Info!$J$3&gt;0,Info!$J$3+B133, )</f>
        <v>0</v>
      </c>
      <c r="B133" s="335">
        <v>214</v>
      </c>
      <c r="C133" s="299"/>
      <c r="D133" s="299"/>
      <c r="E133" s="299"/>
      <c r="F133" s="211"/>
      <c r="G133" s="211"/>
      <c r="H133" s="294"/>
      <c r="I133" s="294"/>
      <c r="J133" s="208"/>
      <c r="K133" s="208"/>
    </row>
    <row r="134" spans="1:11" x14ac:dyDescent="0.25">
      <c r="A134" s="325">
        <f>IF(Info!$J$3&gt;0,Info!$J$3+B134, )</f>
        <v>0</v>
      </c>
      <c r="B134" s="381">
        <v>215</v>
      </c>
      <c r="C134" s="299"/>
      <c r="D134" s="299"/>
      <c r="E134" s="299"/>
      <c r="F134" s="211"/>
      <c r="G134" s="211"/>
      <c r="H134" s="294"/>
      <c r="I134" s="294"/>
      <c r="J134" s="208"/>
      <c r="K134" s="208"/>
    </row>
    <row r="135" spans="1:11" x14ac:dyDescent="0.25">
      <c r="A135" s="325">
        <f>IF(Info!$J$3&gt;0,Info!$J$3+B135, )</f>
        <v>0</v>
      </c>
      <c r="B135" s="335">
        <v>216</v>
      </c>
      <c r="C135" s="299"/>
      <c r="D135" s="299"/>
      <c r="E135" s="299"/>
      <c r="F135" s="211"/>
      <c r="G135" s="211"/>
      <c r="H135" s="294"/>
      <c r="I135" s="294"/>
      <c r="J135" s="208"/>
      <c r="K135" s="208"/>
    </row>
    <row r="136" spans="1:11" x14ac:dyDescent="0.25">
      <c r="A136" s="325">
        <f>IF(Info!$J$3&gt;0,Info!$J$3+B136, )</f>
        <v>0</v>
      </c>
      <c r="B136" s="381">
        <v>217</v>
      </c>
      <c r="C136" s="299"/>
      <c r="D136" s="299"/>
      <c r="E136" s="299"/>
      <c r="F136" s="211"/>
      <c r="G136" s="211"/>
      <c r="H136" s="294"/>
      <c r="I136" s="294"/>
      <c r="J136" s="208"/>
      <c r="K136" s="208"/>
    </row>
    <row r="137" spans="1:11" x14ac:dyDescent="0.25">
      <c r="A137" s="326">
        <f>A136</f>
        <v>0</v>
      </c>
      <c r="B137" s="382" t="str">
        <f>Traducción!$B$24&amp;" 31"</f>
        <v>Sem. 31</v>
      </c>
      <c r="C137" s="307">
        <f t="shared" ref="C137:E137" si="58">SUM(C130:C136)</f>
        <v>0</v>
      </c>
      <c r="D137" s="307">
        <f t="shared" si="58"/>
        <v>0</v>
      </c>
      <c r="E137" s="307">
        <f t="shared" si="58"/>
        <v>0</v>
      </c>
      <c r="F137" s="312">
        <f t="shared" ref="F137:G137" si="59">IFERROR(AVERAGE(F130:F136), )</f>
        <v>0</v>
      </c>
      <c r="G137" s="312">
        <f t="shared" si="59"/>
        <v>0</v>
      </c>
      <c r="H137" s="316">
        <f t="shared" ref="H137:I137" si="60">SUM(H130:H136)</f>
        <v>0</v>
      </c>
      <c r="I137" s="316">
        <f t="shared" si="60"/>
        <v>0</v>
      </c>
      <c r="J137" s="329">
        <f t="shared" ref="J137" si="61">IFERROR(AVERAGE(J130:J136), )</f>
        <v>0</v>
      </c>
      <c r="K137" s="224"/>
    </row>
    <row r="138" spans="1:11" x14ac:dyDescent="0.25">
      <c r="A138" s="325">
        <f>IF(Info!$J$3&gt;0,Info!$J$3+B138, )</f>
        <v>0</v>
      </c>
      <c r="B138" s="335">
        <v>218</v>
      </c>
      <c r="C138" s="308"/>
      <c r="D138" s="308"/>
      <c r="E138" s="308"/>
      <c r="F138" s="313"/>
      <c r="G138" s="313"/>
      <c r="H138" s="317"/>
      <c r="I138" s="317"/>
      <c r="J138" s="225"/>
      <c r="K138" s="208"/>
    </row>
    <row r="139" spans="1:11" x14ac:dyDescent="0.25">
      <c r="A139" s="325">
        <f>IF(Info!$J$3&gt;0,Info!$J$3+B139, )</f>
        <v>0</v>
      </c>
      <c r="B139" s="381">
        <v>219</v>
      </c>
      <c r="C139" s="299"/>
      <c r="D139" s="299"/>
      <c r="E139" s="299"/>
      <c r="F139" s="211"/>
      <c r="G139" s="211"/>
      <c r="H139" s="294"/>
      <c r="I139" s="294"/>
      <c r="J139" s="208"/>
      <c r="K139" s="208"/>
    </row>
    <row r="140" spans="1:11" x14ac:dyDescent="0.25">
      <c r="A140" s="325">
        <f>IF(Info!$J$3&gt;0,Info!$J$3+B140, )</f>
        <v>0</v>
      </c>
      <c r="B140" s="335">
        <v>220</v>
      </c>
      <c r="C140" s="299"/>
      <c r="D140" s="299"/>
      <c r="E140" s="299"/>
      <c r="F140" s="211"/>
      <c r="G140" s="211"/>
      <c r="H140" s="294"/>
      <c r="I140" s="294"/>
      <c r="J140" s="208"/>
      <c r="K140" s="208"/>
    </row>
    <row r="141" spans="1:11" x14ac:dyDescent="0.25">
      <c r="A141" s="325">
        <f>IF(Info!$J$3&gt;0,Info!$J$3+B141, )</f>
        <v>0</v>
      </c>
      <c r="B141" s="381">
        <v>221</v>
      </c>
      <c r="C141" s="299"/>
      <c r="D141" s="299"/>
      <c r="E141" s="299"/>
      <c r="F141" s="211"/>
      <c r="G141" s="211"/>
      <c r="H141" s="294"/>
      <c r="I141" s="294"/>
      <c r="J141" s="208"/>
      <c r="K141" s="208"/>
    </row>
    <row r="142" spans="1:11" x14ac:dyDescent="0.25">
      <c r="A142" s="325">
        <f>IF(Info!$J$3&gt;0,Info!$J$3+B142, )</f>
        <v>0</v>
      </c>
      <c r="B142" s="335">
        <v>222</v>
      </c>
      <c r="C142" s="299"/>
      <c r="D142" s="299"/>
      <c r="E142" s="299"/>
      <c r="F142" s="211"/>
      <c r="G142" s="211"/>
      <c r="H142" s="294"/>
      <c r="I142" s="294"/>
      <c r="J142" s="208"/>
      <c r="K142" s="208"/>
    </row>
    <row r="143" spans="1:11" x14ac:dyDescent="0.25">
      <c r="A143" s="325">
        <f>IF(Info!$J$3&gt;0,Info!$J$3+B143, )</f>
        <v>0</v>
      </c>
      <c r="B143" s="381">
        <v>223</v>
      </c>
      <c r="C143" s="299"/>
      <c r="D143" s="299"/>
      <c r="E143" s="299"/>
      <c r="F143" s="211"/>
      <c r="G143" s="211"/>
      <c r="H143" s="294"/>
      <c r="I143" s="294"/>
      <c r="J143" s="208"/>
      <c r="K143" s="208"/>
    </row>
    <row r="144" spans="1:11" x14ac:dyDescent="0.25">
      <c r="A144" s="325">
        <f>IF(Info!$J$3&gt;0,Info!$J$3+B144, )</f>
        <v>0</v>
      </c>
      <c r="B144" s="335">
        <v>224</v>
      </c>
      <c r="C144" s="299"/>
      <c r="D144" s="299"/>
      <c r="E144" s="299"/>
      <c r="F144" s="211"/>
      <c r="G144" s="211"/>
      <c r="H144" s="294"/>
      <c r="I144" s="294"/>
      <c r="J144" s="208"/>
      <c r="K144" s="208"/>
    </row>
    <row r="145" spans="1:11" x14ac:dyDescent="0.25">
      <c r="A145" s="326">
        <f>A144</f>
        <v>0</v>
      </c>
      <c r="B145" s="382" t="str">
        <f>Traducción!$B$24&amp;" 32"</f>
        <v>Sem. 32</v>
      </c>
      <c r="C145" s="307">
        <f t="shared" ref="C145:E145" si="62">SUM(C138:C144)</f>
        <v>0</v>
      </c>
      <c r="D145" s="307">
        <f t="shared" si="62"/>
        <v>0</v>
      </c>
      <c r="E145" s="307">
        <f t="shared" si="62"/>
        <v>0</v>
      </c>
      <c r="F145" s="312">
        <f t="shared" ref="F145:G145" si="63">IFERROR(AVERAGE(F138:F144), )</f>
        <v>0</v>
      </c>
      <c r="G145" s="312">
        <f t="shared" si="63"/>
        <v>0</v>
      </c>
      <c r="H145" s="316">
        <f t="shared" ref="H145:I145" si="64">SUM(H138:H144)</f>
        <v>0</v>
      </c>
      <c r="I145" s="316">
        <f t="shared" si="64"/>
        <v>0</v>
      </c>
      <c r="J145" s="329">
        <f t="shared" ref="J145" si="65">IFERROR(AVERAGE(J138:J144), )</f>
        <v>0</v>
      </c>
      <c r="K145" s="224"/>
    </row>
    <row r="146" spans="1:11" x14ac:dyDescent="0.25">
      <c r="A146" s="325">
        <f>IF(Info!$J$3&gt;0,Info!$J$3+B146, )</f>
        <v>0</v>
      </c>
      <c r="B146" s="381">
        <v>225</v>
      </c>
      <c r="C146" s="308"/>
      <c r="D146" s="308"/>
      <c r="E146" s="308"/>
      <c r="F146" s="313"/>
      <c r="G146" s="313"/>
      <c r="H146" s="317"/>
      <c r="I146" s="317"/>
      <c r="J146" s="225"/>
      <c r="K146" s="208"/>
    </row>
    <row r="147" spans="1:11" x14ac:dyDescent="0.25">
      <c r="A147" s="325">
        <f>IF(Info!$J$3&gt;0,Info!$J$3+B147, )</f>
        <v>0</v>
      </c>
      <c r="B147" s="335">
        <v>226</v>
      </c>
      <c r="C147" s="299"/>
      <c r="D147" s="299"/>
      <c r="E147" s="299"/>
      <c r="F147" s="211"/>
      <c r="G147" s="211"/>
      <c r="H147" s="294"/>
      <c r="I147" s="294"/>
      <c r="J147" s="208"/>
      <c r="K147" s="208"/>
    </row>
    <row r="148" spans="1:11" x14ac:dyDescent="0.25">
      <c r="A148" s="325">
        <f>IF(Info!$J$3&gt;0,Info!$J$3+B148, )</f>
        <v>0</v>
      </c>
      <c r="B148" s="381">
        <v>227</v>
      </c>
      <c r="C148" s="299"/>
      <c r="D148" s="299"/>
      <c r="E148" s="299"/>
      <c r="F148" s="211"/>
      <c r="G148" s="211"/>
      <c r="H148" s="294"/>
      <c r="I148" s="294"/>
      <c r="J148" s="208"/>
      <c r="K148" s="208"/>
    </row>
    <row r="149" spans="1:11" x14ac:dyDescent="0.25">
      <c r="A149" s="325">
        <f>IF(Info!$J$3&gt;0,Info!$J$3+B149, )</f>
        <v>0</v>
      </c>
      <c r="B149" s="335">
        <v>228</v>
      </c>
      <c r="C149" s="299"/>
      <c r="D149" s="299"/>
      <c r="E149" s="299"/>
      <c r="F149" s="211"/>
      <c r="G149" s="211"/>
      <c r="H149" s="294"/>
      <c r="I149" s="294"/>
      <c r="J149" s="208"/>
      <c r="K149" s="208"/>
    </row>
    <row r="150" spans="1:11" x14ac:dyDescent="0.25">
      <c r="A150" s="325">
        <f>IF(Info!$J$3&gt;0,Info!$J$3+B150, )</f>
        <v>0</v>
      </c>
      <c r="B150" s="381">
        <v>229</v>
      </c>
      <c r="C150" s="299"/>
      <c r="D150" s="299"/>
      <c r="E150" s="299"/>
      <c r="F150" s="211"/>
      <c r="G150" s="211"/>
      <c r="H150" s="294"/>
      <c r="I150" s="294"/>
      <c r="J150" s="208"/>
      <c r="K150" s="208"/>
    </row>
    <row r="151" spans="1:11" x14ac:dyDescent="0.25">
      <c r="A151" s="325">
        <f>IF(Info!$J$3&gt;0,Info!$J$3+B151, )</f>
        <v>0</v>
      </c>
      <c r="B151" s="335">
        <v>230</v>
      </c>
      <c r="C151" s="299"/>
      <c r="D151" s="299"/>
      <c r="E151" s="299"/>
      <c r="F151" s="211"/>
      <c r="G151" s="211"/>
      <c r="H151" s="294"/>
      <c r="I151" s="294"/>
      <c r="J151" s="208"/>
      <c r="K151" s="208"/>
    </row>
    <row r="152" spans="1:11" x14ac:dyDescent="0.25">
      <c r="A152" s="325">
        <f>IF(Info!$J$3&gt;0,Info!$J$3+B152, )</f>
        <v>0</v>
      </c>
      <c r="B152" s="381">
        <v>231</v>
      </c>
      <c r="C152" s="299"/>
      <c r="D152" s="299"/>
      <c r="E152" s="299"/>
      <c r="F152" s="211"/>
      <c r="G152" s="211"/>
      <c r="H152" s="294"/>
      <c r="I152" s="294"/>
      <c r="J152" s="208"/>
      <c r="K152" s="208"/>
    </row>
    <row r="153" spans="1:11" x14ac:dyDescent="0.25">
      <c r="A153" s="326">
        <f>A152</f>
        <v>0</v>
      </c>
      <c r="B153" s="382" t="str">
        <f>Traducción!$B$24&amp;" 33"</f>
        <v>Sem. 33</v>
      </c>
      <c r="C153" s="307">
        <f t="shared" ref="C153:E153" si="66">SUM(C146:C152)</f>
        <v>0</v>
      </c>
      <c r="D153" s="307">
        <f t="shared" si="66"/>
        <v>0</v>
      </c>
      <c r="E153" s="307">
        <f t="shared" si="66"/>
        <v>0</v>
      </c>
      <c r="F153" s="312">
        <f t="shared" ref="F153:G153" si="67">IFERROR(AVERAGE(F146:F152), )</f>
        <v>0</v>
      </c>
      <c r="G153" s="312">
        <f t="shared" si="67"/>
        <v>0</v>
      </c>
      <c r="H153" s="316">
        <f t="shared" ref="H153:I153" si="68">SUM(H146:H152)</f>
        <v>0</v>
      </c>
      <c r="I153" s="316">
        <f t="shared" si="68"/>
        <v>0</v>
      </c>
      <c r="J153" s="329">
        <f t="shared" ref="J153" si="69">IFERROR(AVERAGE(J146:J152), )</f>
        <v>0</v>
      </c>
      <c r="K153" s="224"/>
    </row>
    <row r="154" spans="1:11" x14ac:dyDescent="0.25">
      <c r="A154" s="325">
        <f>IF(Info!$J$3&gt;0,Info!$J$3+B154, )</f>
        <v>0</v>
      </c>
      <c r="B154" s="335">
        <v>232</v>
      </c>
      <c r="C154" s="308"/>
      <c r="D154" s="308"/>
      <c r="E154" s="308"/>
      <c r="F154" s="313"/>
      <c r="G154" s="313"/>
      <c r="H154" s="317"/>
      <c r="I154" s="317"/>
      <c r="J154" s="225"/>
      <c r="K154" s="208"/>
    </row>
    <row r="155" spans="1:11" x14ac:dyDescent="0.25">
      <c r="A155" s="325">
        <f>IF(Info!$J$3&gt;0,Info!$J$3+B155, )</f>
        <v>0</v>
      </c>
      <c r="B155" s="381">
        <v>233</v>
      </c>
      <c r="C155" s="299"/>
      <c r="D155" s="299"/>
      <c r="E155" s="299"/>
      <c r="F155" s="211"/>
      <c r="G155" s="211"/>
      <c r="H155" s="294"/>
      <c r="I155" s="294"/>
      <c r="J155" s="208"/>
      <c r="K155" s="208"/>
    </row>
    <row r="156" spans="1:11" x14ac:dyDescent="0.25">
      <c r="A156" s="325">
        <f>IF(Info!$J$3&gt;0,Info!$J$3+B156, )</f>
        <v>0</v>
      </c>
      <c r="B156" s="335">
        <v>234</v>
      </c>
      <c r="C156" s="299"/>
      <c r="D156" s="299"/>
      <c r="E156" s="299"/>
      <c r="F156" s="211"/>
      <c r="G156" s="211"/>
      <c r="H156" s="294"/>
      <c r="I156" s="294"/>
      <c r="J156" s="208"/>
      <c r="K156" s="208"/>
    </row>
    <row r="157" spans="1:11" x14ac:dyDescent="0.25">
      <c r="A157" s="325">
        <f>IF(Info!$J$3&gt;0,Info!$J$3+B157, )</f>
        <v>0</v>
      </c>
      <c r="B157" s="381">
        <v>235</v>
      </c>
      <c r="C157" s="299"/>
      <c r="D157" s="299"/>
      <c r="E157" s="299"/>
      <c r="F157" s="211"/>
      <c r="G157" s="211"/>
      <c r="H157" s="294"/>
      <c r="I157" s="294"/>
      <c r="J157" s="208"/>
      <c r="K157" s="208"/>
    </row>
    <row r="158" spans="1:11" x14ac:dyDescent="0.25">
      <c r="A158" s="325">
        <f>IF(Info!$J$3&gt;0,Info!$J$3+B158, )</f>
        <v>0</v>
      </c>
      <c r="B158" s="335">
        <v>236</v>
      </c>
      <c r="C158" s="299"/>
      <c r="D158" s="299"/>
      <c r="E158" s="299"/>
      <c r="F158" s="211"/>
      <c r="G158" s="211"/>
      <c r="H158" s="294"/>
      <c r="I158" s="294"/>
      <c r="J158" s="208"/>
      <c r="K158" s="208"/>
    </row>
    <row r="159" spans="1:11" x14ac:dyDescent="0.25">
      <c r="A159" s="325">
        <f>IF(Info!$J$3&gt;0,Info!$J$3+B159, )</f>
        <v>0</v>
      </c>
      <c r="B159" s="381">
        <v>237</v>
      </c>
      <c r="C159" s="299"/>
      <c r="D159" s="299"/>
      <c r="E159" s="299"/>
      <c r="F159" s="211"/>
      <c r="G159" s="211"/>
      <c r="H159" s="294"/>
      <c r="I159" s="294"/>
      <c r="J159" s="208"/>
      <c r="K159" s="208"/>
    </row>
    <row r="160" spans="1:11" x14ac:dyDescent="0.25">
      <c r="A160" s="325">
        <f>IF(Info!$J$3&gt;0,Info!$J$3+B160, )</f>
        <v>0</v>
      </c>
      <c r="B160" s="335">
        <v>238</v>
      </c>
      <c r="C160" s="299"/>
      <c r="D160" s="299"/>
      <c r="E160" s="299"/>
      <c r="F160" s="211"/>
      <c r="G160" s="211"/>
      <c r="H160" s="294"/>
      <c r="I160" s="294"/>
      <c r="J160" s="208"/>
      <c r="K160" s="208"/>
    </row>
    <row r="161" spans="1:11" x14ac:dyDescent="0.25">
      <c r="A161" s="326">
        <f>A160</f>
        <v>0</v>
      </c>
      <c r="B161" s="382" t="str">
        <f>Traducción!$B$24&amp;" 34"</f>
        <v>Sem. 34</v>
      </c>
      <c r="C161" s="307">
        <f t="shared" ref="C161:E161" si="70">SUM(C154:C160)</f>
        <v>0</v>
      </c>
      <c r="D161" s="307">
        <f t="shared" si="70"/>
        <v>0</v>
      </c>
      <c r="E161" s="307">
        <f t="shared" si="70"/>
        <v>0</v>
      </c>
      <c r="F161" s="312">
        <f t="shared" ref="F161:G161" si="71">IFERROR(AVERAGE(F154:F160), )</f>
        <v>0</v>
      </c>
      <c r="G161" s="312">
        <f t="shared" si="71"/>
        <v>0</v>
      </c>
      <c r="H161" s="316">
        <f t="shared" ref="H161:I161" si="72">SUM(H154:H160)</f>
        <v>0</v>
      </c>
      <c r="I161" s="316">
        <f t="shared" si="72"/>
        <v>0</v>
      </c>
      <c r="J161" s="329">
        <f t="shared" ref="J161" si="73">IFERROR(AVERAGE(J154:J160), )</f>
        <v>0</v>
      </c>
      <c r="K161" s="224"/>
    </row>
    <row r="162" spans="1:11" x14ac:dyDescent="0.25">
      <c r="A162" s="325">
        <f>IF(Info!$J$3&gt;0,Info!$J$3+B162, )</f>
        <v>0</v>
      </c>
      <c r="B162" s="381">
        <v>239</v>
      </c>
      <c r="C162" s="308"/>
      <c r="D162" s="308"/>
      <c r="E162" s="308"/>
      <c r="F162" s="313"/>
      <c r="G162" s="313"/>
      <c r="H162" s="317"/>
      <c r="I162" s="317"/>
      <c r="J162" s="225"/>
      <c r="K162" s="208"/>
    </row>
    <row r="163" spans="1:11" x14ac:dyDescent="0.25">
      <c r="A163" s="325">
        <f>IF(Info!$J$3&gt;0,Info!$J$3+B163, )</f>
        <v>0</v>
      </c>
      <c r="B163" s="335">
        <v>240</v>
      </c>
      <c r="C163" s="299"/>
      <c r="D163" s="299"/>
      <c r="E163" s="299"/>
      <c r="F163" s="211"/>
      <c r="G163" s="211"/>
      <c r="H163" s="294"/>
      <c r="I163" s="294"/>
      <c r="J163" s="208"/>
      <c r="K163" s="208"/>
    </row>
    <row r="164" spans="1:11" x14ac:dyDescent="0.25">
      <c r="A164" s="325">
        <f>IF(Info!$J$3&gt;0,Info!$J$3+B164, )</f>
        <v>0</v>
      </c>
      <c r="B164" s="381">
        <v>241</v>
      </c>
      <c r="C164" s="299"/>
      <c r="D164" s="299"/>
      <c r="E164" s="299"/>
      <c r="F164" s="211"/>
      <c r="G164" s="211"/>
      <c r="H164" s="294"/>
      <c r="I164" s="294"/>
      <c r="J164" s="208"/>
      <c r="K164" s="208"/>
    </row>
    <row r="165" spans="1:11" x14ac:dyDescent="0.25">
      <c r="A165" s="325">
        <f>IF(Info!$J$3&gt;0,Info!$J$3+B165, )</f>
        <v>0</v>
      </c>
      <c r="B165" s="335">
        <v>242</v>
      </c>
      <c r="C165" s="299"/>
      <c r="D165" s="299"/>
      <c r="E165" s="299"/>
      <c r="F165" s="211"/>
      <c r="G165" s="211"/>
      <c r="H165" s="294"/>
      <c r="I165" s="294"/>
      <c r="J165" s="208"/>
      <c r="K165" s="208"/>
    </row>
    <row r="166" spans="1:11" x14ac:dyDescent="0.25">
      <c r="A166" s="325">
        <f>IF(Info!$J$3&gt;0,Info!$J$3+B166, )</f>
        <v>0</v>
      </c>
      <c r="B166" s="381">
        <v>243</v>
      </c>
      <c r="C166" s="299"/>
      <c r="D166" s="299"/>
      <c r="E166" s="299"/>
      <c r="F166" s="211"/>
      <c r="G166" s="211"/>
      <c r="H166" s="294"/>
      <c r="I166" s="294"/>
      <c r="J166" s="208"/>
      <c r="K166" s="208"/>
    </row>
    <row r="167" spans="1:11" x14ac:dyDescent="0.25">
      <c r="A167" s="325">
        <f>IF(Info!$J$3&gt;0,Info!$J$3+B167, )</f>
        <v>0</v>
      </c>
      <c r="B167" s="335">
        <v>244</v>
      </c>
      <c r="C167" s="299"/>
      <c r="D167" s="299"/>
      <c r="E167" s="299"/>
      <c r="F167" s="211"/>
      <c r="G167" s="211"/>
      <c r="H167" s="294"/>
      <c r="I167" s="294"/>
      <c r="J167" s="208"/>
      <c r="K167" s="208"/>
    </row>
    <row r="168" spans="1:11" x14ac:dyDescent="0.25">
      <c r="A168" s="325">
        <f>IF(Info!$J$3&gt;0,Info!$J$3+B168, )</f>
        <v>0</v>
      </c>
      <c r="B168" s="381">
        <v>245</v>
      </c>
      <c r="C168" s="299"/>
      <c r="D168" s="299"/>
      <c r="E168" s="299"/>
      <c r="F168" s="211"/>
      <c r="G168" s="211"/>
      <c r="H168" s="294"/>
      <c r="I168" s="294"/>
      <c r="J168" s="208"/>
      <c r="K168" s="208"/>
    </row>
    <row r="169" spans="1:11" x14ac:dyDescent="0.25">
      <c r="A169" s="326">
        <f>A168</f>
        <v>0</v>
      </c>
      <c r="B169" s="382" t="str">
        <f>Traducción!$B$24&amp;" 35"</f>
        <v>Sem. 35</v>
      </c>
      <c r="C169" s="307">
        <f t="shared" ref="C169:E169" si="74">SUM(C162:C168)</f>
        <v>0</v>
      </c>
      <c r="D169" s="307">
        <f t="shared" si="74"/>
        <v>0</v>
      </c>
      <c r="E169" s="307">
        <f t="shared" si="74"/>
        <v>0</v>
      </c>
      <c r="F169" s="312">
        <f t="shared" ref="F169:G169" si="75">IFERROR(AVERAGE(F162:F168), )</f>
        <v>0</v>
      </c>
      <c r="G169" s="312">
        <f t="shared" si="75"/>
        <v>0</v>
      </c>
      <c r="H169" s="316">
        <f t="shared" ref="H169:I169" si="76">SUM(H162:H168)</f>
        <v>0</v>
      </c>
      <c r="I169" s="316">
        <f t="shared" si="76"/>
        <v>0</v>
      </c>
      <c r="J169" s="329">
        <f t="shared" ref="J169" si="77">IFERROR(AVERAGE(J162:J168), )</f>
        <v>0</v>
      </c>
      <c r="K169" s="224"/>
    </row>
    <row r="170" spans="1:11" x14ac:dyDescent="0.25">
      <c r="A170" s="325">
        <f>IF(Info!$J$3&gt;0,Info!$J$3+B170, )</f>
        <v>0</v>
      </c>
      <c r="B170" s="335">
        <v>246</v>
      </c>
      <c r="C170" s="308"/>
      <c r="D170" s="308"/>
      <c r="E170" s="308"/>
      <c r="F170" s="313"/>
      <c r="G170" s="313"/>
      <c r="H170" s="317"/>
      <c r="I170" s="317"/>
      <c r="J170" s="225"/>
      <c r="K170" s="208"/>
    </row>
    <row r="171" spans="1:11" x14ac:dyDescent="0.25">
      <c r="A171" s="325">
        <f>IF(Info!$J$3&gt;0,Info!$J$3+B171, )</f>
        <v>0</v>
      </c>
      <c r="B171" s="381">
        <v>247</v>
      </c>
      <c r="C171" s="299"/>
      <c r="D171" s="299"/>
      <c r="E171" s="299"/>
      <c r="F171" s="211"/>
      <c r="G171" s="211"/>
      <c r="H171" s="294"/>
      <c r="I171" s="294"/>
      <c r="J171" s="208"/>
      <c r="K171" s="208"/>
    </row>
    <row r="172" spans="1:11" x14ac:dyDescent="0.25">
      <c r="A172" s="325">
        <f>IF(Info!$J$3&gt;0,Info!$J$3+B172, )</f>
        <v>0</v>
      </c>
      <c r="B172" s="335">
        <v>248</v>
      </c>
      <c r="C172" s="299"/>
      <c r="D172" s="299"/>
      <c r="E172" s="299"/>
      <c r="F172" s="211"/>
      <c r="G172" s="211"/>
      <c r="H172" s="294"/>
      <c r="I172" s="294"/>
      <c r="J172" s="208"/>
      <c r="K172" s="208"/>
    </row>
    <row r="173" spans="1:11" x14ac:dyDescent="0.25">
      <c r="A173" s="325">
        <f>IF(Info!$J$3&gt;0,Info!$J$3+B173, )</f>
        <v>0</v>
      </c>
      <c r="B173" s="381">
        <v>249</v>
      </c>
      <c r="C173" s="299"/>
      <c r="D173" s="299"/>
      <c r="E173" s="299"/>
      <c r="F173" s="211"/>
      <c r="G173" s="211"/>
      <c r="H173" s="294"/>
      <c r="I173" s="294"/>
      <c r="J173" s="208"/>
      <c r="K173" s="208"/>
    </row>
    <row r="174" spans="1:11" x14ac:dyDescent="0.25">
      <c r="A174" s="325">
        <f>IF(Info!$J$3&gt;0,Info!$J$3+B174, )</f>
        <v>0</v>
      </c>
      <c r="B174" s="335">
        <v>250</v>
      </c>
      <c r="C174" s="299"/>
      <c r="D174" s="299"/>
      <c r="E174" s="299"/>
      <c r="F174" s="211"/>
      <c r="G174" s="211"/>
      <c r="H174" s="294"/>
      <c r="I174" s="294"/>
      <c r="J174" s="208"/>
      <c r="K174" s="208"/>
    </row>
    <row r="175" spans="1:11" x14ac:dyDescent="0.25">
      <c r="A175" s="325">
        <f>IF(Info!$J$3&gt;0,Info!$J$3+B175, )</f>
        <v>0</v>
      </c>
      <c r="B175" s="381">
        <v>251</v>
      </c>
      <c r="C175" s="299"/>
      <c r="D175" s="299"/>
      <c r="E175" s="299"/>
      <c r="F175" s="211"/>
      <c r="G175" s="211"/>
      <c r="H175" s="294"/>
      <c r="I175" s="294"/>
      <c r="J175" s="208"/>
      <c r="K175" s="208"/>
    </row>
    <row r="176" spans="1:11" x14ac:dyDescent="0.25">
      <c r="A176" s="325">
        <f>IF(Info!$J$3&gt;0,Info!$J$3+B176, )</f>
        <v>0</v>
      </c>
      <c r="B176" s="335">
        <v>252</v>
      </c>
      <c r="C176" s="299"/>
      <c r="D176" s="299"/>
      <c r="E176" s="299"/>
      <c r="F176" s="211"/>
      <c r="G176" s="211"/>
      <c r="H176" s="294"/>
      <c r="I176" s="294"/>
      <c r="J176" s="208"/>
      <c r="K176" s="208"/>
    </row>
    <row r="177" spans="1:11" x14ac:dyDescent="0.25">
      <c r="A177" s="326">
        <f>A176</f>
        <v>0</v>
      </c>
      <c r="B177" s="382" t="str">
        <f>Traducción!$B$24&amp;" 36"</f>
        <v>Sem. 36</v>
      </c>
      <c r="C177" s="307">
        <f t="shared" ref="C177:E177" si="78">SUM(C170:C176)</f>
        <v>0</v>
      </c>
      <c r="D177" s="307">
        <f t="shared" si="78"/>
        <v>0</v>
      </c>
      <c r="E177" s="307">
        <f t="shared" si="78"/>
        <v>0</v>
      </c>
      <c r="F177" s="312">
        <f t="shared" ref="F177:G177" si="79">IFERROR(AVERAGE(F170:F176), )</f>
        <v>0</v>
      </c>
      <c r="G177" s="312">
        <f t="shared" si="79"/>
        <v>0</v>
      </c>
      <c r="H177" s="316">
        <f t="shared" ref="H177:I177" si="80">SUM(H170:H176)</f>
        <v>0</v>
      </c>
      <c r="I177" s="316">
        <f t="shared" si="80"/>
        <v>0</v>
      </c>
      <c r="J177" s="329">
        <f t="shared" ref="J177" si="81">IFERROR(AVERAGE(J170:J176), )</f>
        <v>0</v>
      </c>
      <c r="K177" s="224"/>
    </row>
    <row r="178" spans="1:11" x14ac:dyDescent="0.25">
      <c r="A178" s="325">
        <f>IF(Info!$J$3&gt;0,Info!$J$3+B178, )</f>
        <v>0</v>
      </c>
      <c r="B178" s="381">
        <v>253</v>
      </c>
      <c r="C178" s="308"/>
      <c r="D178" s="308"/>
      <c r="E178" s="308"/>
      <c r="F178" s="313"/>
      <c r="G178" s="313"/>
      <c r="H178" s="317"/>
      <c r="I178" s="317"/>
      <c r="J178" s="225"/>
      <c r="K178" s="208"/>
    </row>
    <row r="179" spans="1:11" x14ac:dyDescent="0.25">
      <c r="A179" s="325">
        <f>IF(Info!$J$3&gt;0,Info!$J$3+B179, )</f>
        <v>0</v>
      </c>
      <c r="B179" s="335">
        <v>254</v>
      </c>
      <c r="C179" s="299"/>
      <c r="D179" s="299"/>
      <c r="E179" s="299"/>
      <c r="F179" s="211"/>
      <c r="G179" s="211"/>
      <c r="H179" s="294"/>
      <c r="I179" s="294"/>
      <c r="J179" s="208"/>
      <c r="K179" s="208"/>
    </row>
    <row r="180" spans="1:11" x14ac:dyDescent="0.25">
      <c r="A180" s="325">
        <f>IF(Info!$J$3&gt;0,Info!$J$3+B180, )</f>
        <v>0</v>
      </c>
      <c r="B180" s="381">
        <v>255</v>
      </c>
      <c r="C180" s="299"/>
      <c r="D180" s="299"/>
      <c r="E180" s="299"/>
      <c r="F180" s="211"/>
      <c r="G180" s="211"/>
      <c r="H180" s="294"/>
      <c r="I180" s="294"/>
      <c r="J180" s="208"/>
      <c r="K180" s="208"/>
    </row>
    <row r="181" spans="1:11" x14ac:dyDescent="0.25">
      <c r="A181" s="325">
        <f>IF(Info!$J$3&gt;0,Info!$J$3+B181, )</f>
        <v>0</v>
      </c>
      <c r="B181" s="335">
        <v>256</v>
      </c>
      <c r="C181" s="299"/>
      <c r="D181" s="299"/>
      <c r="E181" s="299"/>
      <c r="F181" s="211"/>
      <c r="G181" s="211"/>
      <c r="H181" s="294"/>
      <c r="I181" s="294"/>
      <c r="J181" s="208"/>
      <c r="K181" s="208"/>
    </row>
    <row r="182" spans="1:11" x14ac:dyDescent="0.25">
      <c r="A182" s="325">
        <f>IF(Info!$J$3&gt;0,Info!$J$3+B182, )</f>
        <v>0</v>
      </c>
      <c r="B182" s="381">
        <v>257</v>
      </c>
      <c r="C182" s="299"/>
      <c r="D182" s="299"/>
      <c r="E182" s="299"/>
      <c r="F182" s="211"/>
      <c r="G182" s="211"/>
      <c r="H182" s="294"/>
      <c r="I182" s="294"/>
      <c r="J182" s="208"/>
      <c r="K182" s="208"/>
    </row>
    <row r="183" spans="1:11" x14ac:dyDescent="0.25">
      <c r="A183" s="325">
        <f>IF(Info!$J$3&gt;0,Info!$J$3+B183, )</f>
        <v>0</v>
      </c>
      <c r="B183" s="335">
        <v>258</v>
      </c>
      <c r="C183" s="299"/>
      <c r="D183" s="299"/>
      <c r="E183" s="299"/>
      <c r="F183" s="211"/>
      <c r="G183" s="211"/>
      <c r="H183" s="294"/>
      <c r="I183" s="294"/>
      <c r="J183" s="208"/>
      <c r="K183" s="208"/>
    </row>
    <row r="184" spans="1:11" x14ac:dyDescent="0.25">
      <c r="A184" s="325">
        <f>IF(Info!$J$3&gt;0,Info!$J$3+B184, )</f>
        <v>0</v>
      </c>
      <c r="B184" s="381">
        <v>259</v>
      </c>
      <c r="C184" s="299"/>
      <c r="D184" s="299"/>
      <c r="E184" s="299"/>
      <c r="F184" s="211"/>
      <c r="G184" s="211"/>
      <c r="H184" s="294"/>
      <c r="I184" s="294"/>
      <c r="J184" s="208"/>
      <c r="K184" s="208"/>
    </row>
    <row r="185" spans="1:11" x14ac:dyDescent="0.25">
      <c r="A185" s="326">
        <f>A184</f>
        <v>0</v>
      </c>
      <c r="B185" s="382" t="str">
        <f>Traducción!$B$24&amp;" 37"</f>
        <v>Sem. 37</v>
      </c>
      <c r="C185" s="307">
        <f t="shared" ref="C185:E185" si="82">SUM(C178:C184)</f>
        <v>0</v>
      </c>
      <c r="D185" s="307">
        <f t="shared" si="82"/>
        <v>0</v>
      </c>
      <c r="E185" s="307">
        <f t="shared" si="82"/>
        <v>0</v>
      </c>
      <c r="F185" s="312">
        <f t="shared" ref="F185:G185" si="83">IFERROR(AVERAGE(F178:F184), )</f>
        <v>0</v>
      </c>
      <c r="G185" s="312">
        <f t="shared" si="83"/>
        <v>0</v>
      </c>
      <c r="H185" s="316">
        <f t="shared" ref="H185:I185" si="84">SUM(H178:H184)</f>
        <v>0</v>
      </c>
      <c r="I185" s="316">
        <f t="shared" si="84"/>
        <v>0</v>
      </c>
      <c r="J185" s="329">
        <f t="shared" ref="J185" si="85">IFERROR(AVERAGE(J178:J184), )</f>
        <v>0</v>
      </c>
      <c r="K185" s="224"/>
    </row>
    <row r="186" spans="1:11" x14ac:dyDescent="0.25">
      <c r="A186" s="325">
        <f>IF(Info!$J$3&gt;0,Info!$J$3+B186, )</f>
        <v>0</v>
      </c>
      <c r="B186" s="335">
        <v>260</v>
      </c>
      <c r="C186" s="308"/>
      <c r="D186" s="308"/>
      <c r="E186" s="308"/>
      <c r="F186" s="313"/>
      <c r="G186" s="313"/>
      <c r="H186" s="317"/>
      <c r="I186" s="317"/>
      <c r="J186" s="225"/>
      <c r="K186" s="208"/>
    </row>
    <row r="187" spans="1:11" x14ac:dyDescent="0.25">
      <c r="A187" s="325">
        <f>IF(Info!$J$3&gt;0,Info!$J$3+B187, )</f>
        <v>0</v>
      </c>
      <c r="B187" s="381">
        <v>261</v>
      </c>
      <c r="C187" s="299"/>
      <c r="D187" s="299"/>
      <c r="E187" s="299"/>
      <c r="F187" s="211"/>
      <c r="G187" s="211"/>
      <c r="H187" s="294"/>
      <c r="I187" s="294"/>
      <c r="J187" s="208"/>
      <c r="K187" s="208"/>
    </row>
    <row r="188" spans="1:11" x14ac:dyDescent="0.25">
      <c r="A188" s="325">
        <f>IF(Info!$J$3&gt;0,Info!$J$3+B188, )</f>
        <v>0</v>
      </c>
      <c r="B188" s="335">
        <v>262</v>
      </c>
      <c r="C188" s="299"/>
      <c r="D188" s="299"/>
      <c r="E188" s="299"/>
      <c r="F188" s="211"/>
      <c r="G188" s="211"/>
      <c r="H188" s="294"/>
      <c r="I188" s="294"/>
      <c r="J188" s="208"/>
      <c r="K188" s="208"/>
    </row>
    <row r="189" spans="1:11" x14ac:dyDescent="0.25">
      <c r="A189" s="325">
        <f>IF(Info!$J$3&gt;0,Info!$J$3+B189, )</f>
        <v>0</v>
      </c>
      <c r="B189" s="381">
        <v>263</v>
      </c>
      <c r="C189" s="299"/>
      <c r="D189" s="299"/>
      <c r="E189" s="299"/>
      <c r="F189" s="211"/>
      <c r="G189" s="211"/>
      <c r="H189" s="294"/>
      <c r="I189" s="294"/>
      <c r="J189" s="208"/>
      <c r="K189" s="208"/>
    </row>
    <row r="190" spans="1:11" x14ac:dyDescent="0.25">
      <c r="A190" s="325">
        <f>IF(Info!$J$3&gt;0,Info!$J$3+B190, )</f>
        <v>0</v>
      </c>
      <c r="B190" s="335">
        <v>264</v>
      </c>
      <c r="C190" s="299"/>
      <c r="D190" s="299"/>
      <c r="E190" s="299"/>
      <c r="F190" s="211"/>
      <c r="G190" s="211"/>
      <c r="H190" s="294"/>
      <c r="I190" s="294"/>
      <c r="J190" s="208"/>
      <c r="K190" s="208"/>
    </row>
    <row r="191" spans="1:11" x14ac:dyDescent="0.25">
      <c r="A191" s="325">
        <f>IF(Info!$J$3&gt;0,Info!$J$3+B191, )</f>
        <v>0</v>
      </c>
      <c r="B191" s="381">
        <v>265</v>
      </c>
      <c r="C191" s="299"/>
      <c r="D191" s="299"/>
      <c r="E191" s="299"/>
      <c r="F191" s="211"/>
      <c r="G191" s="211"/>
      <c r="H191" s="294"/>
      <c r="I191" s="294"/>
      <c r="J191" s="208"/>
      <c r="K191" s="208"/>
    </row>
    <row r="192" spans="1:11" x14ac:dyDescent="0.25">
      <c r="A192" s="325">
        <f>IF(Info!$J$3&gt;0,Info!$J$3+B192, )</f>
        <v>0</v>
      </c>
      <c r="B192" s="335">
        <v>266</v>
      </c>
      <c r="C192" s="299"/>
      <c r="D192" s="299"/>
      <c r="E192" s="299"/>
      <c r="F192" s="211"/>
      <c r="G192" s="211"/>
      <c r="H192" s="294"/>
      <c r="I192" s="294"/>
      <c r="J192" s="208"/>
      <c r="K192" s="208"/>
    </row>
    <row r="193" spans="1:11" x14ac:dyDescent="0.25">
      <c r="A193" s="326">
        <f>A192</f>
        <v>0</v>
      </c>
      <c r="B193" s="382" t="str">
        <f>Traducción!$B$24&amp;" 38"</f>
        <v>Sem. 38</v>
      </c>
      <c r="C193" s="307">
        <f t="shared" ref="C193:E193" si="86">SUM(C186:C192)</f>
        <v>0</v>
      </c>
      <c r="D193" s="307">
        <f t="shared" si="86"/>
        <v>0</v>
      </c>
      <c r="E193" s="307">
        <f t="shared" si="86"/>
        <v>0</v>
      </c>
      <c r="F193" s="312">
        <f t="shared" ref="F193:G193" si="87">IFERROR(AVERAGE(F186:F192), )</f>
        <v>0</v>
      </c>
      <c r="G193" s="312">
        <f t="shared" si="87"/>
        <v>0</v>
      </c>
      <c r="H193" s="316">
        <f t="shared" ref="H193:I193" si="88">SUM(H186:H192)</f>
        <v>0</v>
      </c>
      <c r="I193" s="316">
        <f t="shared" si="88"/>
        <v>0</v>
      </c>
      <c r="J193" s="329">
        <f t="shared" ref="J193" si="89">IFERROR(AVERAGE(J186:J192), )</f>
        <v>0</v>
      </c>
      <c r="K193" s="224"/>
    </row>
    <row r="194" spans="1:11" x14ac:dyDescent="0.25">
      <c r="A194" s="325">
        <f>IF(Info!$J$3&gt;0,Info!$J$3+B194, )</f>
        <v>0</v>
      </c>
      <c r="B194" s="381">
        <v>267</v>
      </c>
      <c r="C194" s="308"/>
      <c r="D194" s="308"/>
      <c r="E194" s="308"/>
      <c r="F194" s="313"/>
      <c r="G194" s="313"/>
      <c r="H194" s="317"/>
      <c r="I194" s="317"/>
      <c r="J194" s="225"/>
      <c r="K194" s="208"/>
    </row>
    <row r="195" spans="1:11" x14ac:dyDescent="0.25">
      <c r="A195" s="325">
        <f>IF(Info!$J$3&gt;0,Info!$J$3+B195, )</f>
        <v>0</v>
      </c>
      <c r="B195" s="335">
        <v>268</v>
      </c>
      <c r="C195" s="299"/>
      <c r="D195" s="299"/>
      <c r="E195" s="299"/>
      <c r="F195" s="211"/>
      <c r="G195" s="211"/>
      <c r="H195" s="294"/>
      <c r="I195" s="294"/>
      <c r="J195" s="208"/>
      <c r="K195" s="208"/>
    </row>
    <row r="196" spans="1:11" x14ac:dyDescent="0.25">
      <c r="A196" s="325">
        <f>IF(Info!$J$3&gt;0,Info!$J$3+B196, )</f>
        <v>0</v>
      </c>
      <c r="B196" s="381">
        <v>269</v>
      </c>
      <c r="C196" s="299"/>
      <c r="D196" s="299"/>
      <c r="E196" s="299"/>
      <c r="F196" s="211"/>
      <c r="G196" s="211"/>
      <c r="H196" s="294"/>
      <c r="I196" s="294"/>
      <c r="J196" s="208"/>
      <c r="K196" s="208"/>
    </row>
    <row r="197" spans="1:11" x14ac:dyDescent="0.25">
      <c r="A197" s="325">
        <f>IF(Info!$J$3&gt;0,Info!$J$3+B197, )</f>
        <v>0</v>
      </c>
      <c r="B197" s="335">
        <v>270</v>
      </c>
      <c r="C197" s="299"/>
      <c r="D197" s="299"/>
      <c r="E197" s="299"/>
      <c r="F197" s="211"/>
      <c r="G197" s="211"/>
      <c r="H197" s="294"/>
      <c r="I197" s="294"/>
      <c r="J197" s="208"/>
      <c r="K197" s="208"/>
    </row>
    <row r="198" spans="1:11" x14ac:dyDescent="0.25">
      <c r="A198" s="325">
        <f>IF(Info!$J$3&gt;0,Info!$J$3+B198, )</f>
        <v>0</v>
      </c>
      <c r="B198" s="381">
        <v>271</v>
      </c>
      <c r="C198" s="299"/>
      <c r="D198" s="299"/>
      <c r="E198" s="299"/>
      <c r="F198" s="211"/>
      <c r="G198" s="211"/>
      <c r="H198" s="294"/>
      <c r="I198" s="294"/>
      <c r="J198" s="208"/>
      <c r="K198" s="208"/>
    </row>
    <row r="199" spans="1:11" x14ac:dyDescent="0.25">
      <c r="A199" s="325">
        <f>IF(Info!$J$3&gt;0,Info!$J$3+B199, )</f>
        <v>0</v>
      </c>
      <c r="B199" s="335">
        <v>272</v>
      </c>
      <c r="C199" s="299"/>
      <c r="D199" s="299"/>
      <c r="E199" s="299"/>
      <c r="F199" s="211"/>
      <c r="G199" s="211"/>
      <c r="H199" s="294"/>
      <c r="I199" s="294"/>
      <c r="J199" s="208"/>
      <c r="K199" s="208"/>
    </row>
    <row r="200" spans="1:11" x14ac:dyDescent="0.25">
      <c r="A200" s="325">
        <f>IF(Info!$J$3&gt;0,Info!$J$3+B200, )</f>
        <v>0</v>
      </c>
      <c r="B200" s="381">
        <v>273</v>
      </c>
      <c r="C200" s="299"/>
      <c r="D200" s="299"/>
      <c r="E200" s="299"/>
      <c r="F200" s="211"/>
      <c r="G200" s="211"/>
      <c r="H200" s="294"/>
      <c r="I200" s="294"/>
      <c r="J200" s="208"/>
      <c r="K200" s="208"/>
    </row>
    <row r="201" spans="1:11" x14ac:dyDescent="0.25">
      <c r="A201" s="326">
        <f>A200</f>
        <v>0</v>
      </c>
      <c r="B201" s="382" t="str">
        <f>Traducción!$B$24&amp;" 39"</f>
        <v>Sem. 39</v>
      </c>
      <c r="C201" s="307">
        <f t="shared" ref="C201:E201" si="90">SUM(C194:C200)</f>
        <v>0</v>
      </c>
      <c r="D201" s="307">
        <f t="shared" si="90"/>
        <v>0</v>
      </c>
      <c r="E201" s="307">
        <f t="shared" si="90"/>
        <v>0</v>
      </c>
      <c r="F201" s="312">
        <f t="shared" ref="F201:G201" si="91">IFERROR(AVERAGE(F194:F200), )</f>
        <v>0</v>
      </c>
      <c r="G201" s="312">
        <f t="shared" si="91"/>
        <v>0</v>
      </c>
      <c r="H201" s="316">
        <f t="shared" ref="H201:I201" si="92">SUM(H194:H200)</f>
        <v>0</v>
      </c>
      <c r="I201" s="316">
        <f t="shared" si="92"/>
        <v>0</v>
      </c>
      <c r="J201" s="329">
        <f t="shared" ref="J201" si="93">IFERROR(AVERAGE(J194:J200), )</f>
        <v>0</v>
      </c>
      <c r="K201" s="224"/>
    </row>
    <row r="202" spans="1:11" x14ac:dyDescent="0.25">
      <c r="A202" s="325">
        <f>IF(Info!$J$3&gt;0,Info!$J$3+B202, )</f>
        <v>0</v>
      </c>
      <c r="B202" s="335">
        <v>274</v>
      </c>
      <c r="C202" s="308"/>
      <c r="D202" s="308"/>
      <c r="E202" s="308"/>
      <c r="F202" s="313"/>
      <c r="G202" s="313"/>
      <c r="H202" s="317"/>
      <c r="I202" s="317"/>
      <c r="J202" s="225"/>
      <c r="K202" s="208"/>
    </row>
    <row r="203" spans="1:11" x14ac:dyDescent="0.25">
      <c r="A203" s="325">
        <f>IF(Info!$J$3&gt;0,Info!$J$3+B203, )</f>
        <v>0</v>
      </c>
      <c r="B203" s="381">
        <v>275</v>
      </c>
      <c r="C203" s="299"/>
      <c r="D203" s="299"/>
      <c r="E203" s="299"/>
      <c r="F203" s="211"/>
      <c r="G203" s="211"/>
      <c r="H203" s="294"/>
      <c r="I203" s="294"/>
      <c r="J203" s="208"/>
      <c r="K203" s="208"/>
    </row>
    <row r="204" spans="1:11" x14ac:dyDescent="0.25">
      <c r="A204" s="325">
        <f>IF(Info!$J$3&gt;0,Info!$J$3+B204, )</f>
        <v>0</v>
      </c>
      <c r="B204" s="335">
        <v>276</v>
      </c>
      <c r="C204" s="299"/>
      <c r="D204" s="299"/>
      <c r="E204" s="299"/>
      <c r="F204" s="211"/>
      <c r="G204" s="211"/>
      <c r="H204" s="294"/>
      <c r="I204" s="294"/>
      <c r="J204" s="208"/>
      <c r="K204" s="208"/>
    </row>
    <row r="205" spans="1:11" x14ac:dyDescent="0.25">
      <c r="A205" s="325">
        <f>IF(Info!$J$3&gt;0,Info!$J$3+B205, )</f>
        <v>0</v>
      </c>
      <c r="B205" s="381">
        <v>277</v>
      </c>
      <c r="C205" s="299"/>
      <c r="D205" s="299"/>
      <c r="E205" s="299"/>
      <c r="F205" s="211"/>
      <c r="G205" s="211"/>
      <c r="H205" s="294"/>
      <c r="I205" s="294"/>
      <c r="J205" s="208"/>
      <c r="K205" s="208"/>
    </row>
    <row r="206" spans="1:11" x14ac:dyDescent="0.25">
      <c r="A206" s="325">
        <f>IF(Info!$J$3&gt;0,Info!$J$3+B206, )</f>
        <v>0</v>
      </c>
      <c r="B206" s="335">
        <v>278</v>
      </c>
      <c r="C206" s="299"/>
      <c r="D206" s="299"/>
      <c r="E206" s="299"/>
      <c r="F206" s="211"/>
      <c r="G206" s="211"/>
      <c r="H206" s="294"/>
      <c r="I206" s="294"/>
      <c r="J206" s="208"/>
      <c r="K206" s="208"/>
    </row>
    <row r="207" spans="1:11" x14ac:dyDescent="0.25">
      <c r="A207" s="325">
        <f>IF(Info!$J$3&gt;0,Info!$J$3+B207, )</f>
        <v>0</v>
      </c>
      <c r="B207" s="381">
        <v>279</v>
      </c>
      <c r="C207" s="299"/>
      <c r="D207" s="299"/>
      <c r="E207" s="299"/>
      <c r="F207" s="211"/>
      <c r="G207" s="211"/>
      <c r="H207" s="294"/>
      <c r="I207" s="294"/>
      <c r="J207" s="208"/>
      <c r="K207" s="208"/>
    </row>
    <row r="208" spans="1:11" x14ac:dyDescent="0.25">
      <c r="A208" s="325">
        <f>IF(Info!$J$3&gt;0,Info!$J$3+B208, )</f>
        <v>0</v>
      </c>
      <c r="B208" s="335">
        <v>280</v>
      </c>
      <c r="C208" s="299"/>
      <c r="D208" s="299"/>
      <c r="E208" s="299"/>
      <c r="F208" s="211"/>
      <c r="G208" s="211"/>
      <c r="H208" s="294"/>
      <c r="I208" s="294"/>
      <c r="J208" s="208"/>
      <c r="K208" s="208"/>
    </row>
    <row r="209" spans="1:11" x14ac:dyDescent="0.25">
      <c r="A209" s="326">
        <f>A208</f>
        <v>0</v>
      </c>
      <c r="B209" s="382" t="str">
        <f>Traducción!$B$24&amp;" 40"</f>
        <v>Sem. 40</v>
      </c>
      <c r="C209" s="307">
        <f t="shared" ref="C209:E209" si="94">SUM(C202:C208)</f>
        <v>0</v>
      </c>
      <c r="D209" s="307">
        <f t="shared" si="94"/>
        <v>0</v>
      </c>
      <c r="E209" s="307">
        <f t="shared" si="94"/>
        <v>0</v>
      </c>
      <c r="F209" s="312">
        <f t="shared" ref="F209:G209" si="95">IFERROR(AVERAGE(F202:F208), )</f>
        <v>0</v>
      </c>
      <c r="G209" s="312">
        <f t="shared" si="95"/>
        <v>0</v>
      </c>
      <c r="H209" s="316">
        <f t="shared" ref="H209:I209" si="96">SUM(H202:H208)</f>
        <v>0</v>
      </c>
      <c r="I209" s="316">
        <f t="shared" si="96"/>
        <v>0</v>
      </c>
      <c r="J209" s="329">
        <f t="shared" ref="J209" si="97">IFERROR(AVERAGE(J202:J208), )</f>
        <v>0</v>
      </c>
      <c r="K209" s="224"/>
    </row>
    <row r="210" spans="1:11" x14ac:dyDescent="0.25">
      <c r="A210" s="325">
        <f>IF(Info!$J$3&gt;0,Info!$J$3+B210, )</f>
        <v>0</v>
      </c>
      <c r="B210" s="381">
        <v>281</v>
      </c>
      <c r="C210" s="308"/>
      <c r="D210" s="308"/>
      <c r="E210" s="308"/>
      <c r="F210" s="313"/>
      <c r="G210" s="313"/>
      <c r="H210" s="317"/>
      <c r="I210" s="317"/>
      <c r="J210" s="225"/>
      <c r="K210" s="208"/>
    </row>
    <row r="211" spans="1:11" x14ac:dyDescent="0.25">
      <c r="A211" s="325">
        <f>IF(Info!$J$3&gt;0,Info!$J$3+B211, )</f>
        <v>0</v>
      </c>
      <c r="B211" s="335">
        <v>282</v>
      </c>
      <c r="C211" s="299"/>
      <c r="D211" s="299"/>
      <c r="E211" s="299"/>
      <c r="F211" s="211"/>
      <c r="G211" s="211"/>
      <c r="H211" s="294"/>
      <c r="I211" s="294"/>
      <c r="J211" s="208"/>
      <c r="K211" s="208"/>
    </row>
    <row r="212" spans="1:11" x14ac:dyDescent="0.25">
      <c r="A212" s="325">
        <f>IF(Info!$J$3&gt;0,Info!$J$3+B212, )</f>
        <v>0</v>
      </c>
      <c r="B212" s="381">
        <v>283</v>
      </c>
      <c r="C212" s="299"/>
      <c r="D212" s="299"/>
      <c r="E212" s="299"/>
      <c r="F212" s="211"/>
      <c r="G212" s="211"/>
      <c r="H212" s="294"/>
      <c r="I212" s="294"/>
      <c r="J212" s="208"/>
      <c r="K212" s="208"/>
    </row>
    <row r="213" spans="1:11" x14ac:dyDescent="0.25">
      <c r="A213" s="325">
        <f>IF(Info!$J$3&gt;0,Info!$J$3+B213, )</f>
        <v>0</v>
      </c>
      <c r="B213" s="335">
        <v>284</v>
      </c>
      <c r="C213" s="299"/>
      <c r="D213" s="299"/>
      <c r="E213" s="299"/>
      <c r="F213" s="211"/>
      <c r="G213" s="211"/>
      <c r="H213" s="294"/>
      <c r="I213" s="294"/>
      <c r="J213" s="208"/>
      <c r="K213" s="208"/>
    </row>
    <row r="214" spans="1:11" x14ac:dyDescent="0.25">
      <c r="A214" s="325">
        <f>IF(Info!$J$3&gt;0,Info!$J$3+B214, )</f>
        <v>0</v>
      </c>
      <c r="B214" s="381">
        <v>285</v>
      </c>
      <c r="C214" s="299"/>
      <c r="D214" s="299"/>
      <c r="E214" s="299"/>
      <c r="F214" s="211"/>
      <c r="G214" s="211"/>
      <c r="H214" s="294"/>
      <c r="I214" s="294"/>
      <c r="J214" s="208"/>
      <c r="K214" s="208"/>
    </row>
    <row r="215" spans="1:11" x14ac:dyDescent="0.25">
      <c r="A215" s="325">
        <f>IF(Info!$J$3&gt;0,Info!$J$3+B215, )</f>
        <v>0</v>
      </c>
      <c r="B215" s="335">
        <v>286</v>
      </c>
      <c r="C215" s="299"/>
      <c r="D215" s="299"/>
      <c r="E215" s="299"/>
      <c r="F215" s="211"/>
      <c r="G215" s="211"/>
      <c r="H215" s="294"/>
      <c r="I215" s="294"/>
      <c r="J215" s="208"/>
      <c r="K215" s="208"/>
    </row>
    <row r="216" spans="1:11" x14ac:dyDescent="0.25">
      <c r="A216" s="325">
        <f>IF(Info!$J$3&gt;0,Info!$J$3+B216, )</f>
        <v>0</v>
      </c>
      <c r="B216" s="381">
        <v>287</v>
      </c>
      <c r="C216" s="299"/>
      <c r="D216" s="299"/>
      <c r="E216" s="299"/>
      <c r="F216" s="211"/>
      <c r="G216" s="211"/>
      <c r="H216" s="294"/>
      <c r="I216" s="294"/>
      <c r="J216" s="208"/>
      <c r="K216" s="208"/>
    </row>
    <row r="217" spans="1:11" x14ac:dyDescent="0.25">
      <c r="A217" s="326">
        <f>A216</f>
        <v>0</v>
      </c>
      <c r="B217" s="382" t="str">
        <f>Traducción!$B$24&amp;" 41"</f>
        <v>Sem. 41</v>
      </c>
      <c r="C217" s="307">
        <f t="shared" ref="C217:E217" si="98">SUM(C210:C216)</f>
        <v>0</v>
      </c>
      <c r="D217" s="307">
        <f t="shared" si="98"/>
        <v>0</v>
      </c>
      <c r="E217" s="307">
        <f t="shared" si="98"/>
        <v>0</v>
      </c>
      <c r="F217" s="312">
        <f t="shared" ref="F217:G217" si="99">IFERROR(AVERAGE(F210:F216), )</f>
        <v>0</v>
      </c>
      <c r="G217" s="312">
        <f t="shared" si="99"/>
        <v>0</v>
      </c>
      <c r="H217" s="316">
        <f t="shared" ref="H217:I217" si="100">SUM(H210:H216)</f>
        <v>0</v>
      </c>
      <c r="I217" s="316">
        <f t="shared" si="100"/>
        <v>0</v>
      </c>
      <c r="J217" s="329">
        <f t="shared" ref="J217" si="101">IFERROR(AVERAGE(J210:J216), )</f>
        <v>0</v>
      </c>
      <c r="K217" s="224"/>
    </row>
    <row r="218" spans="1:11" x14ac:dyDescent="0.25">
      <c r="A218" s="325">
        <f>IF(Info!$J$3&gt;0,Info!$J$3+B218, )</f>
        <v>0</v>
      </c>
      <c r="B218" s="335">
        <v>288</v>
      </c>
      <c r="C218" s="308"/>
      <c r="D218" s="308"/>
      <c r="E218" s="308"/>
      <c r="F218" s="313"/>
      <c r="G218" s="313"/>
      <c r="H218" s="317"/>
      <c r="I218" s="317"/>
      <c r="J218" s="225"/>
      <c r="K218" s="208"/>
    </row>
    <row r="219" spans="1:11" x14ac:dyDescent="0.25">
      <c r="A219" s="325">
        <f>IF(Info!$J$3&gt;0,Info!$J$3+B219, )</f>
        <v>0</v>
      </c>
      <c r="B219" s="381">
        <v>289</v>
      </c>
      <c r="C219" s="299"/>
      <c r="D219" s="299"/>
      <c r="E219" s="299"/>
      <c r="F219" s="211"/>
      <c r="G219" s="211"/>
      <c r="H219" s="294"/>
      <c r="I219" s="294"/>
      <c r="J219" s="208"/>
      <c r="K219" s="208"/>
    </row>
    <row r="220" spans="1:11" x14ac:dyDescent="0.25">
      <c r="A220" s="325">
        <f>IF(Info!$J$3&gt;0,Info!$J$3+B220, )</f>
        <v>0</v>
      </c>
      <c r="B220" s="335">
        <v>290</v>
      </c>
      <c r="C220" s="299"/>
      <c r="D220" s="299"/>
      <c r="E220" s="299"/>
      <c r="F220" s="211"/>
      <c r="G220" s="211"/>
      <c r="H220" s="294"/>
      <c r="I220" s="294"/>
      <c r="J220" s="208"/>
      <c r="K220" s="208"/>
    </row>
    <row r="221" spans="1:11" x14ac:dyDescent="0.25">
      <c r="A221" s="325">
        <f>IF(Info!$J$3&gt;0,Info!$J$3+B221, )</f>
        <v>0</v>
      </c>
      <c r="B221" s="381">
        <v>291</v>
      </c>
      <c r="C221" s="299"/>
      <c r="D221" s="299"/>
      <c r="E221" s="299"/>
      <c r="F221" s="211"/>
      <c r="G221" s="211"/>
      <c r="H221" s="294"/>
      <c r="I221" s="294"/>
      <c r="J221" s="208"/>
      <c r="K221" s="208"/>
    </row>
    <row r="222" spans="1:11" x14ac:dyDescent="0.25">
      <c r="A222" s="325">
        <f>IF(Info!$J$3&gt;0,Info!$J$3+B222, )</f>
        <v>0</v>
      </c>
      <c r="B222" s="335">
        <v>292</v>
      </c>
      <c r="C222" s="299"/>
      <c r="D222" s="299"/>
      <c r="E222" s="299"/>
      <c r="F222" s="211"/>
      <c r="G222" s="211"/>
      <c r="H222" s="294"/>
      <c r="I222" s="294"/>
      <c r="J222" s="208"/>
      <c r="K222" s="208"/>
    </row>
    <row r="223" spans="1:11" x14ac:dyDescent="0.25">
      <c r="A223" s="325">
        <f>IF(Info!$J$3&gt;0,Info!$J$3+B223, )</f>
        <v>0</v>
      </c>
      <c r="B223" s="381">
        <v>293</v>
      </c>
      <c r="C223" s="299"/>
      <c r="D223" s="299"/>
      <c r="E223" s="299"/>
      <c r="F223" s="211"/>
      <c r="G223" s="211"/>
      <c r="H223" s="294"/>
      <c r="I223" s="294"/>
      <c r="J223" s="208"/>
      <c r="K223" s="208"/>
    </row>
    <row r="224" spans="1:11" x14ac:dyDescent="0.25">
      <c r="A224" s="325">
        <f>IF(Info!$J$3&gt;0,Info!$J$3+B224, )</f>
        <v>0</v>
      </c>
      <c r="B224" s="335">
        <v>294</v>
      </c>
      <c r="C224" s="299"/>
      <c r="D224" s="299"/>
      <c r="E224" s="299"/>
      <c r="F224" s="211"/>
      <c r="G224" s="211"/>
      <c r="H224" s="294"/>
      <c r="I224" s="294"/>
      <c r="J224" s="208"/>
      <c r="K224" s="208"/>
    </row>
    <row r="225" spans="1:11" x14ac:dyDescent="0.25">
      <c r="A225" s="326">
        <f>A224</f>
        <v>0</v>
      </c>
      <c r="B225" s="382" t="str">
        <f>Traducción!$B$24&amp;"42"</f>
        <v>Sem.42</v>
      </c>
      <c r="C225" s="307">
        <f t="shared" ref="C225:E225" si="102">SUM(C218:C224)</f>
        <v>0</v>
      </c>
      <c r="D225" s="307">
        <f t="shared" si="102"/>
        <v>0</v>
      </c>
      <c r="E225" s="307">
        <f t="shared" si="102"/>
        <v>0</v>
      </c>
      <c r="F225" s="312">
        <f t="shared" ref="F225:G225" si="103">IFERROR(AVERAGE(F218:F224), )</f>
        <v>0</v>
      </c>
      <c r="G225" s="312">
        <f t="shared" si="103"/>
        <v>0</v>
      </c>
      <c r="H225" s="316">
        <f t="shared" ref="H225:I225" si="104">SUM(H218:H224)</f>
        <v>0</v>
      </c>
      <c r="I225" s="316">
        <f t="shared" si="104"/>
        <v>0</v>
      </c>
      <c r="J225" s="329">
        <f t="shared" ref="J225" si="105">IFERROR(AVERAGE(J218:J224), )</f>
        <v>0</v>
      </c>
      <c r="K225" s="224"/>
    </row>
    <row r="226" spans="1:11" x14ac:dyDescent="0.25">
      <c r="A226" s="325">
        <f>IF(Info!$J$3&gt;0,Info!$J$3+B226, )</f>
        <v>0</v>
      </c>
      <c r="B226" s="381">
        <v>295</v>
      </c>
      <c r="C226" s="308"/>
      <c r="D226" s="308"/>
      <c r="E226" s="308"/>
      <c r="F226" s="313"/>
      <c r="G226" s="313"/>
      <c r="H226" s="317"/>
      <c r="I226" s="317"/>
      <c r="J226" s="225"/>
      <c r="K226" s="208"/>
    </row>
    <row r="227" spans="1:11" x14ac:dyDescent="0.25">
      <c r="A227" s="325">
        <f>IF(Info!$J$3&gt;0,Info!$J$3+B227, )</f>
        <v>0</v>
      </c>
      <c r="B227" s="335">
        <v>296</v>
      </c>
      <c r="C227" s="299"/>
      <c r="D227" s="299"/>
      <c r="E227" s="299"/>
      <c r="F227" s="211"/>
      <c r="G227" s="211"/>
      <c r="H227" s="294"/>
      <c r="I227" s="294"/>
      <c r="J227" s="208"/>
      <c r="K227" s="208"/>
    </row>
    <row r="228" spans="1:11" x14ac:dyDescent="0.25">
      <c r="A228" s="325">
        <f>IF(Info!$J$3&gt;0,Info!$J$3+B228, )</f>
        <v>0</v>
      </c>
      <c r="B228" s="381">
        <v>297</v>
      </c>
      <c r="C228" s="299"/>
      <c r="D228" s="299"/>
      <c r="E228" s="299"/>
      <c r="F228" s="211"/>
      <c r="G228" s="211"/>
      <c r="H228" s="294"/>
      <c r="I228" s="294"/>
      <c r="J228" s="208"/>
      <c r="K228" s="208"/>
    </row>
    <row r="229" spans="1:11" x14ac:dyDescent="0.25">
      <c r="A229" s="325">
        <f>IF(Info!$J$3&gt;0,Info!$J$3+B229, )</f>
        <v>0</v>
      </c>
      <c r="B229" s="335">
        <v>298</v>
      </c>
      <c r="C229" s="299"/>
      <c r="D229" s="299"/>
      <c r="E229" s="299"/>
      <c r="F229" s="211"/>
      <c r="G229" s="211"/>
      <c r="H229" s="294"/>
      <c r="I229" s="294"/>
      <c r="J229" s="208"/>
      <c r="K229" s="208"/>
    </row>
    <row r="230" spans="1:11" x14ac:dyDescent="0.25">
      <c r="A230" s="325">
        <f>IF(Info!$J$3&gt;0,Info!$J$3+B230, )</f>
        <v>0</v>
      </c>
      <c r="B230" s="381">
        <v>299</v>
      </c>
      <c r="C230" s="299"/>
      <c r="D230" s="299"/>
      <c r="E230" s="299"/>
      <c r="F230" s="211"/>
      <c r="G230" s="211"/>
      <c r="H230" s="294"/>
      <c r="I230" s="294"/>
      <c r="J230" s="208"/>
      <c r="K230" s="208"/>
    </row>
    <row r="231" spans="1:11" x14ac:dyDescent="0.25">
      <c r="A231" s="325">
        <f>IF(Info!$J$3&gt;0,Info!$J$3+B231, )</f>
        <v>0</v>
      </c>
      <c r="B231" s="335">
        <v>300</v>
      </c>
      <c r="C231" s="299"/>
      <c r="D231" s="299"/>
      <c r="E231" s="299"/>
      <c r="F231" s="211"/>
      <c r="G231" s="211"/>
      <c r="H231" s="294"/>
      <c r="I231" s="294"/>
      <c r="J231" s="208"/>
      <c r="K231" s="208"/>
    </row>
    <row r="232" spans="1:11" x14ac:dyDescent="0.25">
      <c r="A232" s="325">
        <f>IF(Info!$J$3&gt;0,Info!$J$3+B232, )</f>
        <v>0</v>
      </c>
      <c r="B232" s="381">
        <v>301</v>
      </c>
      <c r="C232" s="299"/>
      <c r="D232" s="299"/>
      <c r="E232" s="299"/>
      <c r="F232" s="211"/>
      <c r="G232" s="211"/>
      <c r="H232" s="294"/>
      <c r="I232" s="294"/>
      <c r="J232" s="208"/>
      <c r="K232" s="208"/>
    </row>
    <row r="233" spans="1:11" x14ac:dyDescent="0.25">
      <c r="A233" s="326">
        <f>A232</f>
        <v>0</v>
      </c>
      <c r="B233" s="382" t="str">
        <f>Traducción!$B$24&amp;" 43"</f>
        <v>Sem. 43</v>
      </c>
      <c r="C233" s="307">
        <f t="shared" ref="C233:E233" si="106">SUM(C226:C232)</f>
        <v>0</v>
      </c>
      <c r="D233" s="307">
        <f t="shared" si="106"/>
        <v>0</v>
      </c>
      <c r="E233" s="307">
        <f t="shared" si="106"/>
        <v>0</v>
      </c>
      <c r="F233" s="312">
        <f t="shared" ref="F233:G233" si="107">IFERROR(AVERAGE(F226:F232), )</f>
        <v>0</v>
      </c>
      <c r="G233" s="312">
        <f t="shared" si="107"/>
        <v>0</v>
      </c>
      <c r="H233" s="316">
        <f t="shared" ref="H233:I233" si="108">SUM(H226:H232)</f>
        <v>0</v>
      </c>
      <c r="I233" s="316">
        <f t="shared" si="108"/>
        <v>0</v>
      </c>
      <c r="J233" s="329">
        <f t="shared" ref="J233" si="109">IFERROR(AVERAGE(J226:J232), )</f>
        <v>0</v>
      </c>
      <c r="K233" s="224"/>
    </row>
    <row r="234" spans="1:11" x14ac:dyDescent="0.25">
      <c r="A234" s="325">
        <f>IF(Info!$J$3&gt;0,Info!$J$3+B234, )</f>
        <v>0</v>
      </c>
      <c r="B234" s="335">
        <v>302</v>
      </c>
      <c r="C234" s="308"/>
      <c r="D234" s="308"/>
      <c r="E234" s="308"/>
      <c r="F234" s="313"/>
      <c r="G234" s="313"/>
      <c r="H234" s="317"/>
      <c r="I234" s="317"/>
      <c r="J234" s="225"/>
      <c r="K234" s="208"/>
    </row>
    <row r="235" spans="1:11" x14ac:dyDescent="0.25">
      <c r="A235" s="325">
        <f>IF(Info!$J$3&gt;0,Info!$J$3+B235, )</f>
        <v>0</v>
      </c>
      <c r="B235" s="381">
        <v>303</v>
      </c>
      <c r="C235" s="299"/>
      <c r="D235" s="299"/>
      <c r="E235" s="299"/>
      <c r="F235" s="211"/>
      <c r="G235" s="211"/>
      <c r="H235" s="294"/>
      <c r="I235" s="294"/>
      <c r="J235" s="208"/>
      <c r="K235" s="208"/>
    </row>
    <row r="236" spans="1:11" x14ac:dyDescent="0.25">
      <c r="A236" s="325">
        <f>IF(Info!$J$3&gt;0,Info!$J$3+B236, )</f>
        <v>0</v>
      </c>
      <c r="B236" s="335">
        <v>304</v>
      </c>
      <c r="C236" s="299"/>
      <c r="D236" s="299"/>
      <c r="E236" s="299"/>
      <c r="F236" s="211"/>
      <c r="G236" s="211"/>
      <c r="H236" s="294"/>
      <c r="I236" s="294"/>
      <c r="J236" s="208"/>
      <c r="K236" s="208"/>
    </row>
    <row r="237" spans="1:11" x14ac:dyDescent="0.25">
      <c r="A237" s="325">
        <f>IF(Info!$J$3&gt;0,Info!$J$3+B237, )</f>
        <v>0</v>
      </c>
      <c r="B237" s="381">
        <v>305</v>
      </c>
      <c r="C237" s="299"/>
      <c r="D237" s="299"/>
      <c r="E237" s="299"/>
      <c r="F237" s="211"/>
      <c r="G237" s="211"/>
      <c r="H237" s="294"/>
      <c r="I237" s="294"/>
      <c r="J237" s="208"/>
      <c r="K237" s="208"/>
    </row>
    <row r="238" spans="1:11" x14ac:dyDescent="0.25">
      <c r="A238" s="325">
        <f>IF(Info!$J$3&gt;0,Info!$J$3+B238, )</f>
        <v>0</v>
      </c>
      <c r="B238" s="335">
        <v>306</v>
      </c>
      <c r="C238" s="299"/>
      <c r="D238" s="299"/>
      <c r="E238" s="299"/>
      <c r="F238" s="211"/>
      <c r="G238" s="211"/>
      <c r="H238" s="294"/>
      <c r="I238" s="294"/>
      <c r="J238" s="208"/>
      <c r="K238" s="208"/>
    </row>
    <row r="239" spans="1:11" x14ac:dyDescent="0.25">
      <c r="A239" s="325">
        <f>IF(Info!$J$3&gt;0,Info!$J$3+B239, )</f>
        <v>0</v>
      </c>
      <c r="B239" s="381">
        <v>307</v>
      </c>
      <c r="C239" s="299"/>
      <c r="D239" s="299"/>
      <c r="E239" s="299"/>
      <c r="F239" s="211"/>
      <c r="G239" s="211"/>
      <c r="H239" s="294"/>
      <c r="I239" s="294"/>
      <c r="J239" s="208"/>
      <c r="K239" s="208"/>
    </row>
    <row r="240" spans="1:11" x14ac:dyDescent="0.25">
      <c r="A240" s="325">
        <f>IF(Info!$J$3&gt;0,Info!$J$3+B240, )</f>
        <v>0</v>
      </c>
      <c r="B240" s="335">
        <v>308</v>
      </c>
      <c r="C240" s="299"/>
      <c r="D240" s="299"/>
      <c r="E240" s="299"/>
      <c r="F240" s="211"/>
      <c r="G240" s="211"/>
      <c r="H240" s="294"/>
      <c r="I240" s="294"/>
      <c r="J240" s="208"/>
      <c r="K240" s="208"/>
    </row>
    <row r="241" spans="1:11" x14ac:dyDescent="0.25">
      <c r="A241" s="326">
        <f>A240</f>
        <v>0</v>
      </c>
      <c r="B241" s="382" t="str">
        <f>Traducción!$B$24&amp;" 44"</f>
        <v>Sem. 44</v>
      </c>
      <c r="C241" s="307">
        <f t="shared" ref="C241:E241" si="110">SUM(C234:C240)</f>
        <v>0</v>
      </c>
      <c r="D241" s="307">
        <f t="shared" si="110"/>
        <v>0</v>
      </c>
      <c r="E241" s="307">
        <f t="shared" si="110"/>
        <v>0</v>
      </c>
      <c r="F241" s="312">
        <f t="shared" ref="F241:G241" si="111">IFERROR(AVERAGE(F234:F240), )</f>
        <v>0</v>
      </c>
      <c r="G241" s="312">
        <f t="shared" si="111"/>
        <v>0</v>
      </c>
      <c r="H241" s="316">
        <f t="shared" ref="H241:I241" si="112">SUM(H234:H240)</f>
        <v>0</v>
      </c>
      <c r="I241" s="316">
        <f t="shared" si="112"/>
        <v>0</v>
      </c>
      <c r="J241" s="329">
        <f t="shared" ref="J241" si="113">IFERROR(AVERAGE(J234:J240), )</f>
        <v>0</v>
      </c>
      <c r="K241" s="224"/>
    </row>
    <row r="242" spans="1:11" x14ac:dyDescent="0.25">
      <c r="A242" s="325">
        <f>IF(Info!$J$3&gt;0,Info!$J$3+B242, )</f>
        <v>0</v>
      </c>
      <c r="B242" s="381">
        <v>309</v>
      </c>
      <c r="C242" s="308"/>
      <c r="D242" s="308"/>
      <c r="E242" s="308"/>
      <c r="F242" s="313"/>
      <c r="G242" s="313"/>
      <c r="H242" s="317"/>
      <c r="I242" s="317"/>
      <c r="J242" s="225"/>
      <c r="K242" s="208"/>
    </row>
    <row r="243" spans="1:11" x14ac:dyDescent="0.25">
      <c r="A243" s="325">
        <f>IF(Info!$J$3&gt;0,Info!$J$3+B243, )</f>
        <v>0</v>
      </c>
      <c r="B243" s="335">
        <v>310</v>
      </c>
      <c r="C243" s="299"/>
      <c r="D243" s="299"/>
      <c r="E243" s="299"/>
      <c r="F243" s="211"/>
      <c r="G243" s="211"/>
      <c r="H243" s="294"/>
      <c r="I243" s="294"/>
      <c r="J243" s="208"/>
      <c r="K243" s="208"/>
    </row>
    <row r="244" spans="1:11" x14ac:dyDescent="0.25">
      <c r="A244" s="325">
        <f>IF(Info!$J$3&gt;0,Info!$J$3+B244, )</f>
        <v>0</v>
      </c>
      <c r="B244" s="381">
        <v>311</v>
      </c>
      <c r="C244" s="299"/>
      <c r="D244" s="299"/>
      <c r="E244" s="299"/>
      <c r="F244" s="211"/>
      <c r="G244" s="211"/>
      <c r="H244" s="294"/>
      <c r="I244" s="294"/>
      <c r="J244" s="208"/>
      <c r="K244" s="208"/>
    </row>
    <row r="245" spans="1:11" x14ac:dyDescent="0.25">
      <c r="A245" s="325">
        <f>IF(Info!$J$3&gt;0,Info!$J$3+B245, )</f>
        <v>0</v>
      </c>
      <c r="B245" s="335">
        <v>312</v>
      </c>
      <c r="C245" s="299"/>
      <c r="D245" s="299"/>
      <c r="E245" s="299"/>
      <c r="F245" s="211"/>
      <c r="G245" s="211"/>
      <c r="H245" s="294"/>
      <c r="I245" s="294"/>
      <c r="J245" s="208"/>
      <c r="K245" s="208"/>
    </row>
    <row r="246" spans="1:11" x14ac:dyDescent="0.25">
      <c r="A246" s="325">
        <f>IF(Info!$J$3&gt;0,Info!$J$3+B246, )</f>
        <v>0</v>
      </c>
      <c r="B246" s="381">
        <v>313</v>
      </c>
      <c r="C246" s="299"/>
      <c r="D246" s="299"/>
      <c r="E246" s="299"/>
      <c r="F246" s="211"/>
      <c r="G246" s="211"/>
      <c r="H246" s="294"/>
      <c r="I246" s="294"/>
      <c r="J246" s="208"/>
      <c r="K246" s="208"/>
    </row>
    <row r="247" spans="1:11" x14ac:dyDescent="0.25">
      <c r="A247" s="325">
        <f>IF(Info!$J$3&gt;0,Info!$J$3+B247, )</f>
        <v>0</v>
      </c>
      <c r="B247" s="335">
        <v>314</v>
      </c>
      <c r="C247" s="299"/>
      <c r="D247" s="299"/>
      <c r="E247" s="299"/>
      <c r="F247" s="211"/>
      <c r="G247" s="211"/>
      <c r="H247" s="294"/>
      <c r="I247" s="294"/>
      <c r="J247" s="208"/>
      <c r="K247" s="208"/>
    </row>
    <row r="248" spans="1:11" x14ac:dyDescent="0.25">
      <c r="A248" s="325">
        <f>IF(Info!$J$3&gt;0,Info!$J$3+B248, )</f>
        <v>0</v>
      </c>
      <c r="B248" s="381">
        <v>315</v>
      </c>
      <c r="C248" s="299"/>
      <c r="D248" s="299"/>
      <c r="E248" s="299"/>
      <c r="F248" s="211"/>
      <c r="G248" s="211"/>
      <c r="H248" s="294"/>
      <c r="I248" s="294"/>
      <c r="J248" s="208"/>
      <c r="K248" s="208"/>
    </row>
    <row r="249" spans="1:11" x14ac:dyDescent="0.25">
      <c r="A249" s="326">
        <f>A248</f>
        <v>0</v>
      </c>
      <c r="B249" s="382" t="str">
        <f>Traducción!$B$24&amp;" 45"</f>
        <v>Sem. 45</v>
      </c>
      <c r="C249" s="307">
        <f t="shared" ref="C249:E249" si="114">SUM(C242:C248)</f>
        <v>0</v>
      </c>
      <c r="D249" s="307">
        <f t="shared" si="114"/>
        <v>0</v>
      </c>
      <c r="E249" s="307">
        <f t="shared" si="114"/>
        <v>0</v>
      </c>
      <c r="F249" s="312">
        <f t="shared" ref="F249:G249" si="115">IFERROR(AVERAGE(F242:F248), )</f>
        <v>0</v>
      </c>
      <c r="G249" s="312">
        <f t="shared" si="115"/>
        <v>0</v>
      </c>
      <c r="H249" s="316">
        <f t="shared" ref="H249:I249" si="116">SUM(H242:H248)</f>
        <v>0</v>
      </c>
      <c r="I249" s="316">
        <f t="shared" si="116"/>
        <v>0</v>
      </c>
      <c r="J249" s="329">
        <f t="shared" ref="J249" si="117">IFERROR(AVERAGE(J242:J248), )</f>
        <v>0</v>
      </c>
      <c r="K249" s="224"/>
    </row>
    <row r="250" spans="1:11" x14ac:dyDescent="0.25">
      <c r="A250" s="325">
        <f>IF(Info!$J$3&gt;0,Info!$J$3+B250, )</f>
        <v>0</v>
      </c>
      <c r="B250" s="335">
        <v>316</v>
      </c>
      <c r="C250" s="308"/>
      <c r="D250" s="308"/>
      <c r="E250" s="308"/>
      <c r="F250" s="313"/>
      <c r="G250" s="313"/>
      <c r="H250" s="317"/>
      <c r="I250" s="317"/>
      <c r="J250" s="225"/>
      <c r="K250" s="208"/>
    </row>
    <row r="251" spans="1:11" x14ac:dyDescent="0.25">
      <c r="A251" s="325">
        <f>IF(Info!$J$3&gt;0,Info!$J$3+B251, )</f>
        <v>0</v>
      </c>
      <c r="B251" s="381">
        <v>317</v>
      </c>
      <c r="C251" s="299"/>
      <c r="D251" s="299"/>
      <c r="E251" s="299"/>
      <c r="F251" s="211"/>
      <c r="G251" s="211"/>
      <c r="H251" s="294"/>
      <c r="I251" s="294"/>
      <c r="J251" s="208"/>
      <c r="K251" s="208"/>
    </row>
    <row r="252" spans="1:11" x14ac:dyDescent="0.25">
      <c r="A252" s="325">
        <f>IF(Info!$J$3&gt;0,Info!$J$3+B252, )</f>
        <v>0</v>
      </c>
      <c r="B252" s="335">
        <v>318</v>
      </c>
      <c r="C252" s="299"/>
      <c r="D252" s="299"/>
      <c r="E252" s="299"/>
      <c r="F252" s="211"/>
      <c r="G252" s="211"/>
      <c r="H252" s="294"/>
      <c r="I252" s="294"/>
      <c r="J252" s="208"/>
      <c r="K252" s="208"/>
    </row>
    <row r="253" spans="1:11" x14ac:dyDescent="0.25">
      <c r="A253" s="325">
        <f>IF(Info!$J$3&gt;0,Info!$J$3+B253, )</f>
        <v>0</v>
      </c>
      <c r="B253" s="381">
        <v>319</v>
      </c>
      <c r="C253" s="299"/>
      <c r="D253" s="299"/>
      <c r="E253" s="299"/>
      <c r="F253" s="211"/>
      <c r="G253" s="211"/>
      <c r="H253" s="294"/>
      <c r="I253" s="294"/>
      <c r="J253" s="208"/>
      <c r="K253" s="208"/>
    </row>
    <row r="254" spans="1:11" x14ac:dyDescent="0.25">
      <c r="A254" s="325">
        <f>IF(Info!$J$3&gt;0,Info!$J$3+B254, )</f>
        <v>0</v>
      </c>
      <c r="B254" s="335">
        <v>320</v>
      </c>
      <c r="C254" s="299"/>
      <c r="D254" s="299"/>
      <c r="E254" s="299"/>
      <c r="F254" s="211"/>
      <c r="G254" s="211"/>
      <c r="H254" s="294"/>
      <c r="I254" s="294"/>
      <c r="J254" s="208"/>
      <c r="K254" s="208"/>
    </row>
    <row r="255" spans="1:11" x14ac:dyDescent="0.25">
      <c r="A255" s="325">
        <f>IF(Info!$J$3&gt;0,Info!$J$3+B255, )</f>
        <v>0</v>
      </c>
      <c r="B255" s="381">
        <v>321</v>
      </c>
      <c r="C255" s="299"/>
      <c r="D255" s="299"/>
      <c r="E255" s="299"/>
      <c r="F255" s="211"/>
      <c r="G255" s="211"/>
      <c r="H255" s="294"/>
      <c r="I255" s="294"/>
      <c r="J255" s="208"/>
      <c r="K255" s="208"/>
    </row>
    <row r="256" spans="1:11" x14ac:dyDescent="0.25">
      <c r="A256" s="325">
        <f>IF(Info!$J$3&gt;0,Info!$J$3+B256, )</f>
        <v>0</v>
      </c>
      <c r="B256" s="335">
        <v>322</v>
      </c>
      <c r="C256" s="299"/>
      <c r="D256" s="299"/>
      <c r="E256" s="299"/>
      <c r="F256" s="211"/>
      <c r="G256" s="211"/>
      <c r="H256" s="294"/>
      <c r="I256" s="294"/>
      <c r="J256" s="208"/>
      <c r="K256" s="208"/>
    </row>
    <row r="257" spans="1:11" x14ac:dyDescent="0.25">
      <c r="A257" s="326">
        <f>A256</f>
        <v>0</v>
      </c>
      <c r="B257" s="382" t="str">
        <f>Traducción!$B$24&amp;" 46"</f>
        <v>Sem. 46</v>
      </c>
      <c r="C257" s="307">
        <f t="shared" ref="C257:E257" si="118">SUM(C250:C256)</f>
        <v>0</v>
      </c>
      <c r="D257" s="307">
        <f t="shared" si="118"/>
        <v>0</v>
      </c>
      <c r="E257" s="307">
        <f t="shared" si="118"/>
        <v>0</v>
      </c>
      <c r="F257" s="312">
        <f t="shared" ref="F257:G257" si="119">IFERROR(AVERAGE(F250:F256), )</f>
        <v>0</v>
      </c>
      <c r="G257" s="312">
        <f t="shared" si="119"/>
        <v>0</v>
      </c>
      <c r="H257" s="316">
        <f t="shared" ref="H257:I257" si="120">SUM(H250:H256)</f>
        <v>0</v>
      </c>
      <c r="I257" s="316">
        <f t="shared" si="120"/>
        <v>0</v>
      </c>
      <c r="J257" s="329">
        <f t="shared" ref="J257" si="121">IFERROR(AVERAGE(J250:J256), )</f>
        <v>0</v>
      </c>
      <c r="K257" s="224"/>
    </row>
    <row r="258" spans="1:11" x14ac:dyDescent="0.25">
      <c r="A258" s="325">
        <f>IF(Info!$J$3&gt;0,Info!$J$3+B258, )</f>
        <v>0</v>
      </c>
      <c r="B258" s="381">
        <v>323</v>
      </c>
      <c r="C258" s="308"/>
      <c r="D258" s="308"/>
      <c r="E258" s="308"/>
      <c r="F258" s="313"/>
      <c r="G258" s="313"/>
      <c r="H258" s="317"/>
      <c r="I258" s="317"/>
      <c r="J258" s="225"/>
      <c r="K258" s="208"/>
    </row>
    <row r="259" spans="1:11" x14ac:dyDescent="0.25">
      <c r="A259" s="325">
        <f>IF(Info!$J$3&gt;0,Info!$J$3+B259, )</f>
        <v>0</v>
      </c>
      <c r="B259" s="335">
        <v>324</v>
      </c>
      <c r="C259" s="299"/>
      <c r="D259" s="299"/>
      <c r="E259" s="299"/>
      <c r="F259" s="211"/>
      <c r="G259" s="211"/>
      <c r="H259" s="294"/>
      <c r="I259" s="294"/>
      <c r="J259" s="208"/>
      <c r="K259" s="208"/>
    </row>
    <row r="260" spans="1:11" x14ac:dyDescent="0.25">
      <c r="A260" s="325">
        <f>IF(Info!$J$3&gt;0,Info!$J$3+B260, )</f>
        <v>0</v>
      </c>
      <c r="B260" s="381">
        <v>325</v>
      </c>
      <c r="C260" s="299"/>
      <c r="D260" s="299"/>
      <c r="E260" s="299"/>
      <c r="F260" s="211"/>
      <c r="G260" s="211"/>
      <c r="H260" s="294"/>
      <c r="I260" s="294"/>
      <c r="J260" s="208"/>
      <c r="K260" s="208"/>
    </row>
    <row r="261" spans="1:11" x14ac:dyDescent="0.25">
      <c r="A261" s="325">
        <f>IF(Info!$J$3&gt;0,Info!$J$3+B261, )</f>
        <v>0</v>
      </c>
      <c r="B261" s="335">
        <v>326</v>
      </c>
      <c r="C261" s="299"/>
      <c r="D261" s="299"/>
      <c r="E261" s="299"/>
      <c r="F261" s="211"/>
      <c r="G261" s="211"/>
      <c r="H261" s="294"/>
      <c r="I261" s="294"/>
      <c r="J261" s="208"/>
      <c r="K261" s="208"/>
    </row>
    <row r="262" spans="1:11" x14ac:dyDescent="0.25">
      <c r="A262" s="325">
        <f>IF(Info!$J$3&gt;0,Info!$J$3+B262, )</f>
        <v>0</v>
      </c>
      <c r="B262" s="381">
        <v>327</v>
      </c>
      <c r="C262" s="299"/>
      <c r="D262" s="299"/>
      <c r="E262" s="299"/>
      <c r="F262" s="211"/>
      <c r="G262" s="211"/>
      <c r="H262" s="294"/>
      <c r="I262" s="294"/>
      <c r="J262" s="208"/>
      <c r="K262" s="208"/>
    </row>
    <row r="263" spans="1:11" x14ac:dyDescent="0.25">
      <c r="A263" s="325">
        <f>IF(Info!$J$3&gt;0,Info!$J$3+B263, )</f>
        <v>0</v>
      </c>
      <c r="B263" s="335">
        <v>328</v>
      </c>
      <c r="C263" s="299"/>
      <c r="D263" s="299"/>
      <c r="E263" s="299"/>
      <c r="F263" s="211"/>
      <c r="G263" s="211"/>
      <c r="H263" s="294"/>
      <c r="I263" s="294"/>
      <c r="J263" s="208"/>
      <c r="K263" s="208"/>
    </row>
    <row r="264" spans="1:11" x14ac:dyDescent="0.25">
      <c r="A264" s="325">
        <f>IF(Info!$J$3&gt;0,Info!$J$3+B264, )</f>
        <v>0</v>
      </c>
      <c r="B264" s="381">
        <v>329</v>
      </c>
      <c r="C264" s="299"/>
      <c r="D264" s="299"/>
      <c r="E264" s="299"/>
      <c r="F264" s="211"/>
      <c r="G264" s="211"/>
      <c r="H264" s="294"/>
      <c r="I264" s="294"/>
      <c r="J264" s="208"/>
      <c r="K264" s="208"/>
    </row>
    <row r="265" spans="1:11" x14ac:dyDescent="0.25">
      <c r="A265" s="326">
        <f>A264</f>
        <v>0</v>
      </c>
      <c r="B265" s="382" t="str">
        <f>Traducción!$B$24&amp;" 47"</f>
        <v>Sem. 47</v>
      </c>
      <c r="C265" s="307">
        <f t="shared" ref="C265:E265" si="122">SUM(C258:C264)</f>
        <v>0</v>
      </c>
      <c r="D265" s="307">
        <f t="shared" si="122"/>
        <v>0</v>
      </c>
      <c r="E265" s="307">
        <f t="shared" si="122"/>
        <v>0</v>
      </c>
      <c r="F265" s="312">
        <f t="shared" ref="F265:G265" si="123">IFERROR(AVERAGE(F258:F264), )</f>
        <v>0</v>
      </c>
      <c r="G265" s="312">
        <f t="shared" si="123"/>
        <v>0</v>
      </c>
      <c r="H265" s="316">
        <f t="shared" ref="H265:I265" si="124">SUM(H258:H264)</f>
        <v>0</v>
      </c>
      <c r="I265" s="316">
        <f t="shared" si="124"/>
        <v>0</v>
      </c>
      <c r="J265" s="329">
        <f t="shared" ref="J265" si="125">IFERROR(AVERAGE(J258:J264), )</f>
        <v>0</v>
      </c>
      <c r="K265" s="224"/>
    </row>
    <row r="266" spans="1:11" x14ac:dyDescent="0.25">
      <c r="A266" s="325">
        <f>IF(Info!$J$3&gt;0,Info!$J$3+B266, )</f>
        <v>0</v>
      </c>
      <c r="B266" s="335">
        <v>330</v>
      </c>
      <c r="C266" s="308"/>
      <c r="D266" s="308"/>
      <c r="E266" s="308"/>
      <c r="F266" s="313"/>
      <c r="G266" s="313"/>
      <c r="H266" s="317"/>
      <c r="I266" s="317"/>
      <c r="J266" s="225"/>
      <c r="K266" s="208"/>
    </row>
    <row r="267" spans="1:11" x14ac:dyDescent="0.25">
      <c r="A267" s="325">
        <f>IF(Info!$J$3&gt;0,Info!$J$3+B267, )</f>
        <v>0</v>
      </c>
      <c r="B267" s="381">
        <v>331</v>
      </c>
      <c r="C267" s="299"/>
      <c r="D267" s="299"/>
      <c r="E267" s="299"/>
      <c r="F267" s="211"/>
      <c r="G267" s="211"/>
      <c r="H267" s="294"/>
      <c r="I267" s="294"/>
      <c r="J267" s="208"/>
      <c r="K267" s="208"/>
    </row>
    <row r="268" spans="1:11" x14ac:dyDescent="0.25">
      <c r="A268" s="325">
        <f>IF(Info!$J$3&gt;0,Info!$J$3+B268, )</f>
        <v>0</v>
      </c>
      <c r="B268" s="335">
        <v>332</v>
      </c>
      <c r="C268" s="299"/>
      <c r="D268" s="299"/>
      <c r="E268" s="299"/>
      <c r="F268" s="211"/>
      <c r="G268" s="211"/>
      <c r="H268" s="294"/>
      <c r="I268" s="294"/>
      <c r="J268" s="208"/>
      <c r="K268" s="208"/>
    </row>
    <row r="269" spans="1:11" x14ac:dyDescent="0.25">
      <c r="A269" s="325">
        <f>IF(Info!$J$3&gt;0,Info!$J$3+B269, )</f>
        <v>0</v>
      </c>
      <c r="B269" s="381">
        <v>333</v>
      </c>
      <c r="C269" s="299"/>
      <c r="D269" s="299"/>
      <c r="E269" s="299"/>
      <c r="F269" s="211"/>
      <c r="G269" s="211"/>
      <c r="H269" s="294"/>
      <c r="I269" s="294"/>
      <c r="J269" s="208"/>
      <c r="K269" s="208"/>
    </row>
    <row r="270" spans="1:11" x14ac:dyDescent="0.25">
      <c r="A270" s="325">
        <f>IF(Info!$J$3&gt;0,Info!$J$3+B270, )</f>
        <v>0</v>
      </c>
      <c r="B270" s="335">
        <v>334</v>
      </c>
      <c r="C270" s="299"/>
      <c r="D270" s="299"/>
      <c r="E270" s="299"/>
      <c r="F270" s="211"/>
      <c r="G270" s="211"/>
      <c r="H270" s="294"/>
      <c r="I270" s="294"/>
      <c r="J270" s="208"/>
      <c r="K270" s="208"/>
    </row>
    <row r="271" spans="1:11" x14ac:dyDescent="0.25">
      <c r="A271" s="325">
        <f>IF(Info!$J$3&gt;0,Info!$J$3+B271, )</f>
        <v>0</v>
      </c>
      <c r="B271" s="381">
        <v>335</v>
      </c>
      <c r="C271" s="299"/>
      <c r="D271" s="299"/>
      <c r="E271" s="299"/>
      <c r="F271" s="211"/>
      <c r="G271" s="211"/>
      <c r="H271" s="294"/>
      <c r="I271" s="294"/>
      <c r="J271" s="208"/>
      <c r="K271" s="208"/>
    </row>
    <row r="272" spans="1:11" x14ac:dyDescent="0.25">
      <c r="A272" s="325">
        <f>IF(Info!$J$3&gt;0,Info!$J$3+B272, )</f>
        <v>0</v>
      </c>
      <c r="B272" s="335">
        <v>336</v>
      </c>
      <c r="C272" s="299"/>
      <c r="D272" s="299"/>
      <c r="E272" s="299"/>
      <c r="F272" s="211"/>
      <c r="G272" s="211"/>
      <c r="H272" s="294"/>
      <c r="I272" s="294"/>
      <c r="J272" s="208"/>
      <c r="K272" s="208"/>
    </row>
    <row r="273" spans="1:11" x14ac:dyDescent="0.25">
      <c r="A273" s="326">
        <f>A272</f>
        <v>0</v>
      </c>
      <c r="B273" s="382" t="str">
        <f>Traducción!$B$24&amp;" 48"</f>
        <v>Sem. 48</v>
      </c>
      <c r="C273" s="307">
        <f t="shared" ref="C273:E273" si="126">SUM(C266:C272)</f>
        <v>0</v>
      </c>
      <c r="D273" s="307">
        <f t="shared" si="126"/>
        <v>0</v>
      </c>
      <c r="E273" s="307">
        <f t="shared" si="126"/>
        <v>0</v>
      </c>
      <c r="F273" s="312">
        <f t="shared" ref="F273:G273" si="127">IFERROR(AVERAGE(F266:F272), )</f>
        <v>0</v>
      </c>
      <c r="G273" s="312">
        <f t="shared" si="127"/>
        <v>0</v>
      </c>
      <c r="H273" s="316">
        <f t="shared" ref="H273:I273" si="128">SUM(H266:H272)</f>
        <v>0</v>
      </c>
      <c r="I273" s="316">
        <f t="shared" si="128"/>
        <v>0</v>
      </c>
      <c r="J273" s="329">
        <f t="shared" ref="J273" si="129">IFERROR(AVERAGE(J266:J272), )</f>
        <v>0</v>
      </c>
      <c r="K273" s="224"/>
    </row>
    <row r="274" spans="1:11" x14ac:dyDescent="0.25">
      <c r="A274" s="325">
        <f>IF(Info!$J$3&gt;0,Info!$J$3+B274, )</f>
        <v>0</v>
      </c>
      <c r="B274" s="381">
        <v>337</v>
      </c>
      <c r="C274" s="308"/>
      <c r="D274" s="308"/>
      <c r="E274" s="308"/>
      <c r="F274" s="313"/>
      <c r="G274" s="313"/>
      <c r="H274" s="317"/>
      <c r="I274" s="317"/>
      <c r="J274" s="225"/>
      <c r="K274" s="208"/>
    </row>
    <row r="275" spans="1:11" x14ac:dyDescent="0.25">
      <c r="A275" s="325">
        <f>IF(Info!$J$3&gt;0,Info!$J$3+B275, )</f>
        <v>0</v>
      </c>
      <c r="B275" s="335">
        <v>338</v>
      </c>
      <c r="C275" s="299"/>
      <c r="D275" s="299"/>
      <c r="E275" s="299"/>
      <c r="F275" s="211"/>
      <c r="G275" s="211"/>
      <c r="H275" s="294"/>
      <c r="I275" s="294"/>
      <c r="J275" s="208"/>
      <c r="K275" s="208"/>
    </row>
    <row r="276" spans="1:11" x14ac:dyDescent="0.25">
      <c r="A276" s="325">
        <f>IF(Info!$J$3&gt;0,Info!$J$3+B276, )</f>
        <v>0</v>
      </c>
      <c r="B276" s="381">
        <v>339</v>
      </c>
      <c r="C276" s="299"/>
      <c r="D276" s="299"/>
      <c r="E276" s="299"/>
      <c r="F276" s="211"/>
      <c r="G276" s="211"/>
      <c r="H276" s="294"/>
      <c r="I276" s="294"/>
      <c r="J276" s="208"/>
      <c r="K276" s="208"/>
    </row>
    <row r="277" spans="1:11" x14ac:dyDescent="0.25">
      <c r="A277" s="325">
        <f>IF(Info!$J$3&gt;0,Info!$J$3+B277, )</f>
        <v>0</v>
      </c>
      <c r="B277" s="335">
        <v>340</v>
      </c>
      <c r="C277" s="299"/>
      <c r="D277" s="299"/>
      <c r="E277" s="299"/>
      <c r="F277" s="211"/>
      <c r="G277" s="211"/>
      <c r="H277" s="294"/>
      <c r="I277" s="294"/>
      <c r="J277" s="208"/>
      <c r="K277" s="208"/>
    </row>
    <row r="278" spans="1:11" x14ac:dyDescent="0.25">
      <c r="A278" s="325">
        <f>IF(Info!$J$3&gt;0,Info!$J$3+B278, )</f>
        <v>0</v>
      </c>
      <c r="B278" s="381">
        <v>341</v>
      </c>
      <c r="C278" s="299"/>
      <c r="D278" s="299"/>
      <c r="E278" s="299"/>
      <c r="F278" s="211"/>
      <c r="G278" s="211"/>
      <c r="H278" s="294"/>
      <c r="I278" s="294"/>
      <c r="J278" s="208"/>
      <c r="K278" s="208"/>
    </row>
    <row r="279" spans="1:11" x14ac:dyDescent="0.25">
      <c r="A279" s="325">
        <f>IF(Info!$J$3&gt;0,Info!$J$3+B279, )</f>
        <v>0</v>
      </c>
      <c r="B279" s="335">
        <v>342</v>
      </c>
      <c r="C279" s="299"/>
      <c r="D279" s="299"/>
      <c r="E279" s="299"/>
      <c r="F279" s="211"/>
      <c r="G279" s="211"/>
      <c r="H279" s="294"/>
      <c r="I279" s="294"/>
      <c r="J279" s="208"/>
      <c r="K279" s="208"/>
    </row>
    <row r="280" spans="1:11" x14ac:dyDescent="0.25">
      <c r="A280" s="325">
        <f>IF(Info!$J$3&gt;0,Info!$J$3+B280, )</f>
        <v>0</v>
      </c>
      <c r="B280" s="381">
        <v>343</v>
      </c>
      <c r="C280" s="299"/>
      <c r="D280" s="299"/>
      <c r="E280" s="299"/>
      <c r="F280" s="211"/>
      <c r="G280" s="211"/>
      <c r="H280" s="294"/>
      <c r="I280" s="294"/>
      <c r="J280" s="208"/>
      <c r="K280" s="208"/>
    </row>
    <row r="281" spans="1:11" x14ac:dyDescent="0.25">
      <c r="A281" s="326">
        <f>A280</f>
        <v>0</v>
      </c>
      <c r="B281" s="382" t="str">
        <f>Traducción!$B$24&amp;" 49"</f>
        <v>Sem. 49</v>
      </c>
      <c r="C281" s="307">
        <f t="shared" ref="C281:E281" si="130">SUM(C274:C280)</f>
        <v>0</v>
      </c>
      <c r="D281" s="307">
        <f t="shared" si="130"/>
        <v>0</v>
      </c>
      <c r="E281" s="307">
        <f t="shared" si="130"/>
        <v>0</v>
      </c>
      <c r="F281" s="312">
        <f t="shared" ref="F281:G281" si="131">IFERROR(AVERAGE(F274:F280), )</f>
        <v>0</v>
      </c>
      <c r="G281" s="312">
        <f t="shared" si="131"/>
        <v>0</v>
      </c>
      <c r="H281" s="316">
        <f t="shared" ref="H281:I281" si="132">SUM(H274:H280)</f>
        <v>0</v>
      </c>
      <c r="I281" s="316">
        <f t="shared" si="132"/>
        <v>0</v>
      </c>
      <c r="J281" s="329">
        <f t="shared" ref="J281" si="133">IFERROR(AVERAGE(J274:J280), )</f>
        <v>0</v>
      </c>
      <c r="K281" s="224"/>
    </row>
    <row r="282" spans="1:11" x14ac:dyDescent="0.25">
      <c r="A282" s="325">
        <f>IF(Info!$J$3&gt;0,Info!$J$3+B282, )</f>
        <v>0</v>
      </c>
      <c r="B282" s="335">
        <v>344</v>
      </c>
      <c r="C282" s="308"/>
      <c r="D282" s="308"/>
      <c r="E282" s="308"/>
      <c r="F282" s="313"/>
      <c r="G282" s="313"/>
      <c r="H282" s="317"/>
      <c r="I282" s="317"/>
      <c r="J282" s="225"/>
      <c r="K282" s="208"/>
    </row>
    <row r="283" spans="1:11" x14ac:dyDescent="0.25">
      <c r="A283" s="325">
        <f>IF(Info!$J$3&gt;0,Info!$J$3+B283, )</f>
        <v>0</v>
      </c>
      <c r="B283" s="381">
        <v>345</v>
      </c>
      <c r="C283" s="299"/>
      <c r="D283" s="299"/>
      <c r="E283" s="299"/>
      <c r="F283" s="211"/>
      <c r="G283" s="211"/>
      <c r="H283" s="294"/>
      <c r="I283" s="294"/>
      <c r="J283" s="208"/>
      <c r="K283" s="208"/>
    </row>
    <row r="284" spans="1:11" x14ac:dyDescent="0.25">
      <c r="A284" s="325">
        <f>IF(Info!$J$3&gt;0,Info!$J$3+B284, )</f>
        <v>0</v>
      </c>
      <c r="B284" s="335">
        <v>346</v>
      </c>
      <c r="C284" s="299"/>
      <c r="D284" s="299"/>
      <c r="E284" s="299"/>
      <c r="F284" s="211"/>
      <c r="G284" s="211"/>
      <c r="H284" s="294"/>
      <c r="I284" s="294"/>
      <c r="J284" s="208"/>
      <c r="K284" s="208"/>
    </row>
    <row r="285" spans="1:11" x14ac:dyDescent="0.25">
      <c r="A285" s="325">
        <f>IF(Info!$J$3&gt;0,Info!$J$3+B285, )</f>
        <v>0</v>
      </c>
      <c r="B285" s="381">
        <v>347</v>
      </c>
      <c r="C285" s="299"/>
      <c r="D285" s="299"/>
      <c r="E285" s="299"/>
      <c r="F285" s="211"/>
      <c r="G285" s="211"/>
      <c r="H285" s="294"/>
      <c r="I285" s="294"/>
      <c r="J285" s="208"/>
      <c r="K285" s="208"/>
    </row>
    <row r="286" spans="1:11" x14ac:dyDescent="0.25">
      <c r="A286" s="325">
        <f>IF(Info!$J$3&gt;0,Info!$J$3+B286, )</f>
        <v>0</v>
      </c>
      <c r="B286" s="335">
        <v>348</v>
      </c>
      <c r="C286" s="299"/>
      <c r="D286" s="299"/>
      <c r="E286" s="299"/>
      <c r="F286" s="211"/>
      <c r="G286" s="211"/>
      <c r="H286" s="294"/>
      <c r="I286" s="294"/>
      <c r="J286" s="208"/>
      <c r="K286" s="208"/>
    </row>
    <row r="287" spans="1:11" x14ac:dyDescent="0.25">
      <c r="A287" s="325">
        <f>IF(Info!$J$3&gt;0,Info!$J$3+B287, )</f>
        <v>0</v>
      </c>
      <c r="B287" s="381">
        <v>349</v>
      </c>
      <c r="C287" s="299"/>
      <c r="D287" s="299"/>
      <c r="E287" s="299"/>
      <c r="F287" s="211"/>
      <c r="G287" s="211"/>
      <c r="H287" s="294"/>
      <c r="I287" s="294"/>
      <c r="J287" s="208"/>
      <c r="K287" s="208"/>
    </row>
    <row r="288" spans="1:11" x14ac:dyDescent="0.25">
      <c r="A288" s="325">
        <f>IF(Info!$J$3&gt;0,Info!$J$3+B288, )</f>
        <v>0</v>
      </c>
      <c r="B288" s="335">
        <v>350</v>
      </c>
      <c r="C288" s="299"/>
      <c r="D288" s="299"/>
      <c r="E288" s="299"/>
      <c r="F288" s="211"/>
      <c r="G288" s="211"/>
      <c r="H288" s="294"/>
      <c r="I288" s="294"/>
      <c r="J288" s="208"/>
      <c r="K288" s="208"/>
    </row>
    <row r="289" spans="1:11" x14ac:dyDescent="0.25">
      <c r="A289" s="326">
        <f>A288</f>
        <v>0</v>
      </c>
      <c r="B289" s="382" t="str">
        <f>Traducción!$B$24&amp;" 50"</f>
        <v>Sem. 50</v>
      </c>
      <c r="C289" s="307">
        <f t="shared" ref="C289:E289" si="134">SUM(C282:C288)</f>
        <v>0</v>
      </c>
      <c r="D289" s="307">
        <f t="shared" si="134"/>
        <v>0</v>
      </c>
      <c r="E289" s="307">
        <f t="shared" si="134"/>
        <v>0</v>
      </c>
      <c r="F289" s="312">
        <f t="shared" ref="F289:G289" si="135">IFERROR(AVERAGE(F282:F288), )</f>
        <v>0</v>
      </c>
      <c r="G289" s="312">
        <f t="shared" si="135"/>
        <v>0</v>
      </c>
      <c r="H289" s="316">
        <f t="shared" ref="H289:I289" si="136">SUM(H282:H288)</f>
        <v>0</v>
      </c>
      <c r="I289" s="316">
        <f t="shared" si="136"/>
        <v>0</v>
      </c>
      <c r="J289" s="329">
        <f t="shared" ref="J289" si="137">IFERROR(AVERAGE(J282:J288), )</f>
        <v>0</v>
      </c>
      <c r="K289" s="224"/>
    </row>
    <row r="290" spans="1:11" x14ac:dyDescent="0.25">
      <c r="A290" s="325">
        <f>IF(Info!$J$3&gt;0,Info!$J$3+B290, )</f>
        <v>0</v>
      </c>
      <c r="B290" s="381">
        <v>351</v>
      </c>
      <c r="C290" s="308"/>
      <c r="D290" s="308"/>
      <c r="E290" s="308"/>
      <c r="F290" s="313"/>
      <c r="G290" s="313"/>
      <c r="H290" s="317"/>
      <c r="I290" s="317"/>
      <c r="J290" s="225"/>
      <c r="K290" s="208"/>
    </row>
    <row r="291" spans="1:11" x14ac:dyDescent="0.25">
      <c r="A291" s="325">
        <f>IF(Info!$J$3&gt;0,Info!$J$3+B291, )</f>
        <v>0</v>
      </c>
      <c r="B291" s="335">
        <v>352</v>
      </c>
      <c r="C291" s="299"/>
      <c r="D291" s="299"/>
      <c r="E291" s="299"/>
      <c r="F291" s="211"/>
      <c r="G291" s="211"/>
      <c r="H291" s="294"/>
      <c r="I291" s="294"/>
      <c r="J291" s="208"/>
      <c r="K291" s="208"/>
    </row>
    <row r="292" spans="1:11" x14ac:dyDescent="0.25">
      <c r="A292" s="325">
        <f>IF(Info!$J$3&gt;0,Info!$J$3+B292, )</f>
        <v>0</v>
      </c>
      <c r="B292" s="381">
        <v>353</v>
      </c>
      <c r="C292" s="299"/>
      <c r="D292" s="299"/>
      <c r="E292" s="299"/>
      <c r="F292" s="211"/>
      <c r="G292" s="211"/>
      <c r="H292" s="294"/>
      <c r="I292" s="294"/>
      <c r="J292" s="208"/>
      <c r="K292" s="208"/>
    </row>
    <row r="293" spans="1:11" x14ac:dyDescent="0.25">
      <c r="A293" s="325">
        <f>IF(Info!$J$3&gt;0,Info!$J$3+B293, )</f>
        <v>0</v>
      </c>
      <c r="B293" s="335">
        <v>354</v>
      </c>
      <c r="C293" s="299"/>
      <c r="D293" s="299"/>
      <c r="E293" s="299"/>
      <c r="F293" s="211"/>
      <c r="G293" s="211"/>
      <c r="H293" s="294"/>
      <c r="I293" s="294"/>
      <c r="J293" s="208"/>
      <c r="K293" s="208"/>
    </row>
    <row r="294" spans="1:11" x14ac:dyDescent="0.25">
      <c r="A294" s="325">
        <f>IF(Info!$J$3&gt;0,Info!$J$3+B294, )</f>
        <v>0</v>
      </c>
      <c r="B294" s="381">
        <v>355</v>
      </c>
      <c r="C294" s="299"/>
      <c r="D294" s="299"/>
      <c r="E294" s="299"/>
      <c r="F294" s="211"/>
      <c r="G294" s="211"/>
      <c r="H294" s="294"/>
      <c r="I294" s="294"/>
      <c r="J294" s="208"/>
      <c r="K294" s="208"/>
    </row>
    <row r="295" spans="1:11" x14ac:dyDescent="0.25">
      <c r="A295" s="325">
        <f>IF(Info!$J$3&gt;0,Info!$J$3+B295, )</f>
        <v>0</v>
      </c>
      <c r="B295" s="335">
        <v>356</v>
      </c>
      <c r="C295" s="299"/>
      <c r="D295" s="299"/>
      <c r="E295" s="299"/>
      <c r="F295" s="211"/>
      <c r="G295" s="211"/>
      <c r="H295" s="294"/>
      <c r="I295" s="294"/>
      <c r="J295" s="208"/>
      <c r="K295" s="208"/>
    </row>
    <row r="296" spans="1:11" x14ac:dyDescent="0.25">
      <c r="A296" s="325">
        <f>IF(Info!$J$3&gt;0,Info!$J$3+B296, )</f>
        <v>0</v>
      </c>
      <c r="B296" s="381">
        <v>357</v>
      </c>
      <c r="C296" s="299"/>
      <c r="D296" s="299"/>
      <c r="E296" s="299"/>
      <c r="F296" s="211"/>
      <c r="G296" s="211"/>
      <c r="H296" s="294"/>
      <c r="I296" s="294"/>
      <c r="J296" s="208"/>
      <c r="K296" s="208"/>
    </row>
    <row r="297" spans="1:11" x14ac:dyDescent="0.25">
      <c r="A297" s="326">
        <f>A296</f>
        <v>0</v>
      </c>
      <c r="B297" s="382" t="str">
        <f>Traducción!$B$24&amp;" 51"</f>
        <v>Sem. 51</v>
      </c>
      <c r="C297" s="307">
        <f t="shared" ref="C297:E297" si="138">SUM(C290:C296)</f>
        <v>0</v>
      </c>
      <c r="D297" s="307">
        <f t="shared" si="138"/>
        <v>0</v>
      </c>
      <c r="E297" s="307">
        <f t="shared" si="138"/>
        <v>0</v>
      </c>
      <c r="F297" s="312">
        <f t="shared" ref="F297:G297" si="139">IFERROR(AVERAGE(F290:F296), )</f>
        <v>0</v>
      </c>
      <c r="G297" s="312">
        <f t="shared" si="139"/>
        <v>0</v>
      </c>
      <c r="H297" s="316">
        <f t="shared" ref="H297:I297" si="140">SUM(H290:H296)</f>
        <v>0</v>
      </c>
      <c r="I297" s="316">
        <f t="shared" si="140"/>
        <v>0</v>
      </c>
      <c r="J297" s="329">
        <f t="shared" ref="J297" si="141">IFERROR(AVERAGE(J290:J296), )</f>
        <v>0</v>
      </c>
      <c r="K297" s="224"/>
    </row>
    <row r="298" spans="1:11" x14ac:dyDescent="0.25">
      <c r="A298" s="325">
        <f>IF(Info!$J$3&gt;0,Info!$J$3+B298, )</f>
        <v>0</v>
      </c>
      <c r="B298" s="335">
        <v>358</v>
      </c>
      <c r="C298" s="308"/>
      <c r="D298" s="308"/>
      <c r="E298" s="308"/>
      <c r="F298" s="313"/>
      <c r="G298" s="313"/>
      <c r="H298" s="317"/>
      <c r="I298" s="317"/>
      <c r="J298" s="225"/>
      <c r="K298" s="208"/>
    </row>
    <row r="299" spans="1:11" x14ac:dyDescent="0.25">
      <c r="A299" s="325">
        <f>IF(Info!$J$3&gt;0,Info!$J$3+B299, )</f>
        <v>0</v>
      </c>
      <c r="B299" s="381">
        <v>359</v>
      </c>
      <c r="C299" s="299"/>
      <c r="D299" s="299"/>
      <c r="E299" s="299"/>
      <c r="F299" s="211"/>
      <c r="G299" s="211"/>
      <c r="H299" s="294"/>
      <c r="I299" s="294"/>
      <c r="J299" s="208"/>
      <c r="K299" s="208"/>
    </row>
    <row r="300" spans="1:11" x14ac:dyDescent="0.25">
      <c r="A300" s="325">
        <f>IF(Info!$J$3&gt;0,Info!$J$3+B300, )</f>
        <v>0</v>
      </c>
      <c r="B300" s="335">
        <v>360</v>
      </c>
      <c r="C300" s="299"/>
      <c r="D300" s="299"/>
      <c r="E300" s="299"/>
      <c r="F300" s="211"/>
      <c r="G300" s="211"/>
      <c r="H300" s="294"/>
      <c r="I300" s="294"/>
      <c r="J300" s="208"/>
      <c r="K300" s="208"/>
    </row>
    <row r="301" spans="1:11" x14ac:dyDescent="0.25">
      <c r="A301" s="325">
        <f>IF(Info!$J$3&gt;0,Info!$J$3+B301, )</f>
        <v>0</v>
      </c>
      <c r="B301" s="381">
        <v>361</v>
      </c>
      <c r="C301" s="299"/>
      <c r="D301" s="299"/>
      <c r="E301" s="299"/>
      <c r="F301" s="211"/>
      <c r="G301" s="211"/>
      <c r="H301" s="294"/>
      <c r="I301" s="294"/>
      <c r="J301" s="208"/>
      <c r="K301" s="208"/>
    </row>
    <row r="302" spans="1:11" x14ac:dyDescent="0.25">
      <c r="A302" s="325">
        <f>IF(Info!$J$3&gt;0,Info!$J$3+B302, )</f>
        <v>0</v>
      </c>
      <c r="B302" s="335">
        <v>362</v>
      </c>
      <c r="C302" s="299"/>
      <c r="D302" s="299"/>
      <c r="E302" s="299"/>
      <c r="F302" s="211"/>
      <c r="G302" s="211"/>
      <c r="H302" s="294"/>
      <c r="I302" s="294"/>
      <c r="J302" s="208"/>
      <c r="K302" s="208"/>
    </row>
    <row r="303" spans="1:11" x14ac:dyDescent="0.25">
      <c r="A303" s="325">
        <f>IF(Info!$J$3&gt;0,Info!$J$3+B303, )</f>
        <v>0</v>
      </c>
      <c r="B303" s="381">
        <v>363</v>
      </c>
      <c r="C303" s="299"/>
      <c r="D303" s="299"/>
      <c r="E303" s="299"/>
      <c r="F303" s="211"/>
      <c r="G303" s="211"/>
      <c r="H303" s="294"/>
      <c r="I303" s="294"/>
      <c r="J303" s="208"/>
      <c r="K303" s="208"/>
    </row>
    <row r="304" spans="1:11" x14ac:dyDescent="0.25">
      <c r="A304" s="325">
        <f>IF(Info!$J$3&gt;0,Info!$J$3+B304, )</f>
        <v>0</v>
      </c>
      <c r="B304" s="335">
        <v>364</v>
      </c>
      <c r="C304" s="299"/>
      <c r="D304" s="299"/>
      <c r="E304" s="299"/>
      <c r="F304" s="211"/>
      <c r="G304" s="211"/>
      <c r="H304" s="294"/>
      <c r="I304" s="294"/>
      <c r="J304" s="208"/>
      <c r="K304" s="208"/>
    </row>
    <row r="305" spans="1:11" x14ac:dyDescent="0.25">
      <c r="A305" s="326">
        <f>A304</f>
        <v>0</v>
      </c>
      <c r="B305" s="382" t="str">
        <f>Traducción!$B$24&amp;" 52"</f>
        <v>Sem. 52</v>
      </c>
      <c r="C305" s="307">
        <f t="shared" ref="C305:E305" si="142">SUM(C298:C304)</f>
        <v>0</v>
      </c>
      <c r="D305" s="307">
        <f t="shared" si="142"/>
        <v>0</v>
      </c>
      <c r="E305" s="307">
        <f t="shared" si="142"/>
        <v>0</v>
      </c>
      <c r="F305" s="312">
        <f t="shared" ref="F305:G305" si="143">IFERROR(AVERAGE(F298:F304), )</f>
        <v>0</v>
      </c>
      <c r="G305" s="312">
        <f t="shared" si="143"/>
        <v>0</v>
      </c>
      <c r="H305" s="316">
        <f t="shared" ref="H305:I305" si="144">SUM(H298:H304)</f>
        <v>0</v>
      </c>
      <c r="I305" s="316">
        <f t="shared" si="144"/>
        <v>0</v>
      </c>
      <c r="J305" s="329">
        <f t="shared" ref="J305" si="145">IFERROR(AVERAGE(J298:J304), )</f>
        <v>0</v>
      </c>
      <c r="K305" s="224"/>
    </row>
    <row r="306" spans="1:11" x14ac:dyDescent="0.25">
      <c r="A306" s="325">
        <f>IF(Info!$J$3&gt;0,Info!$J$3+B306, )</f>
        <v>0</v>
      </c>
      <c r="B306" s="381">
        <v>365</v>
      </c>
      <c r="C306" s="308"/>
      <c r="D306" s="308"/>
      <c r="E306" s="308"/>
      <c r="F306" s="313"/>
      <c r="G306" s="313"/>
      <c r="H306" s="317"/>
      <c r="I306" s="317"/>
      <c r="J306" s="225"/>
      <c r="K306" s="208"/>
    </row>
    <row r="307" spans="1:11" x14ac:dyDescent="0.25">
      <c r="A307" s="325">
        <f>IF(Info!$J$3&gt;0,Info!$J$3+B307, )</f>
        <v>0</v>
      </c>
      <c r="B307" s="335">
        <v>366</v>
      </c>
      <c r="C307" s="299"/>
      <c r="D307" s="299"/>
      <c r="E307" s="299"/>
      <c r="F307" s="211"/>
      <c r="G307" s="211"/>
      <c r="H307" s="294"/>
      <c r="I307" s="294"/>
      <c r="J307" s="208"/>
      <c r="K307" s="208"/>
    </row>
    <row r="308" spans="1:11" x14ac:dyDescent="0.25">
      <c r="A308" s="325">
        <f>IF(Info!$J$3&gt;0,Info!$J$3+B308, )</f>
        <v>0</v>
      </c>
      <c r="B308" s="381">
        <v>367</v>
      </c>
      <c r="C308" s="299"/>
      <c r="D308" s="299"/>
      <c r="E308" s="299"/>
      <c r="F308" s="211"/>
      <c r="G308" s="211"/>
      <c r="H308" s="294"/>
      <c r="I308" s="294"/>
      <c r="J308" s="208"/>
      <c r="K308" s="208"/>
    </row>
    <row r="309" spans="1:11" x14ac:dyDescent="0.25">
      <c r="A309" s="325">
        <f>IF(Info!$J$3&gt;0,Info!$J$3+B309, )</f>
        <v>0</v>
      </c>
      <c r="B309" s="335">
        <v>368</v>
      </c>
      <c r="C309" s="299"/>
      <c r="D309" s="299"/>
      <c r="E309" s="299"/>
      <c r="F309" s="211"/>
      <c r="G309" s="211"/>
      <c r="H309" s="294"/>
      <c r="I309" s="294"/>
      <c r="J309" s="208"/>
      <c r="K309" s="208"/>
    </row>
    <row r="310" spans="1:11" x14ac:dyDescent="0.25">
      <c r="A310" s="325">
        <f>IF(Info!$J$3&gt;0,Info!$J$3+B310, )</f>
        <v>0</v>
      </c>
      <c r="B310" s="381">
        <v>369</v>
      </c>
      <c r="C310" s="299"/>
      <c r="D310" s="299"/>
      <c r="E310" s="299"/>
      <c r="F310" s="211"/>
      <c r="G310" s="211"/>
      <c r="H310" s="294"/>
      <c r="I310" s="294"/>
      <c r="J310" s="208"/>
      <c r="K310" s="208"/>
    </row>
    <row r="311" spans="1:11" x14ac:dyDescent="0.25">
      <c r="A311" s="325">
        <f>IF(Info!$J$3&gt;0,Info!$J$3+B311, )</f>
        <v>0</v>
      </c>
      <c r="B311" s="335">
        <v>370</v>
      </c>
      <c r="C311" s="299"/>
      <c r="D311" s="299"/>
      <c r="E311" s="299"/>
      <c r="F311" s="211"/>
      <c r="G311" s="211"/>
      <c r="H311" s="294"/>
      <c r="I311" s="294"/>
      <c r="J311" s="208"/>
      <c r="K311" s="208"/>
    </row>
    <row r="312" spans="1:11" x14ac:dyDescent="0.25">
      <c r="A312" s="325">
        <f>IF(Info!$J$3&gt;0,Info!$J$3+B312, )</f>
        <v>0</v>
      </c>
      <c r="B312" s="381">
        <v>371</v>
      </c>
      <c r="C312" s="299"/>
      <c r="D312" s="299"/>
      <c r="E312" s="299"/>
      <c r="F312" s="211"/>
      <c r="G312" s="211"/>
      <c r="H312" s="294"/>
      <c r="I312" s="294"/>
      <c r="J312" s="208"/>
      <c r="K312" s="208"/>
    </row>
    <row r="313" spans="1:11" x14ac:dyDescent="0.25">
      <c r="A313" s="326">
        <f>A312</f>
        <v>0</v>
      </c>
      <c r="B313" s="382" t="str">
        <f>Traducción!$B$24&amp;" 53"</f>
        <v>Sem. 53</v>
      </c>
      <c r="C313" s="307">
        <f t="shared" ref="C313:E313" si="146">SUM(C306:C312)</f>
        <v>0</v>
      </c>
      <c r="D313" s="307">
        <f t="shared" si="146"/>
        <v>0</v>
      </c>
      <c r="E313" s="307">
        <f t="shared" si="146"/>
        <v>0</v>
      </c>
      <c r="F313" s="312">
        <f t="shared" ref="F313:G313" si="147">IFERROR(AVERAGE(F306:F312), )</f>
        <v>0</v>
      </c>
      <c r="G313" s="312">
        <f t="shared" si="147"/>
        <v>0</v>
      </c>
      <c r="H313" s="316">
        <f t="shared" ref="H313:I313" si="148">SUM(H306:H312)</f>
        <v>0</v>
      </c>
      <c r="I313" s="316">
        <f t="shared" si="148"/>
        <v>0</v>
      </c>
      <c r="J313" s="329">
        <f t="shared" ref="J313" si="149">IFERROR(AVERAGE(J306:J312), )</f>
        <v>0</v>
      </c>
      <c r="K313" s="224"/>
    </row>
    <row r="314" spans="1:11" x14ac:dyDescent="0.25">
      <c r="A314" s="325">
        <f>IF(Info!$J$3&gt;0,Info!$J$3+B314, )</f>
        <v>0</v>
      </c>
      <c r="B314" s="335">
        <v>372</v>
      </c>
      <c r="C314" s="308"/>
      <c r="D314" s="308"/>
      <c r="E314" s="308"/>
      <c r="F314" s="313"/>
      <c r="G314" s="313"/>
      <c r="H314" s="317"/>
      <c r="I314" s="317"/>
      <c r="J314" s="225"/>
      <c r="K314" s="208"/>
    </row>
    <row r="315" spans="1:11" x14ac:dyDescent="0.25">
      <c r="A315" s="325">
        <f>IF(Info!$J$3&gt;0,Info!$J$3+B315, )</f>
        <v>0</v>
      </c>
      <c r="B315" s="381">
        <v>373</v>
      </c>
      <c r="C315" s="299"/>
      <c r="D315" s="299"/>
      <c r="E315" s="299"/>
      <c r="F315" s="211"/>
      <c r="G315" s="211"/>
      <c r="H315" s="294"/>
      <c r="I315" s="294"/>
      <c r="J315" s="208"/>
      <c r="K315" s="208"/>
    </row>
    <row r="316" spans="1:11" x14ac:dyDescent="0.25">
      <c r="A316" s="325">
        <f>IF(Info!$J$3&gt;0,Info!$J$3+B316, )</f>
        <v>0</v>
      </c>
      <c r="B316" s="335">
        <v>374</v>
      </c>
      <c r="C316" s="299"/>
      <c r="D316" s="299"/>
      <c r="E316" s="299"/>
      <c r="F316" s="211"/>
      <c r="G316" s="211"/>
      <c r="H316" s="294"/>
      <c r="I316" s="294"/>
      <c r="J316" s="208"/>
      <c r="K316" s="208"/>
    </row>
    <row r="317" spans="1:11" x14ac:dyDescent="0.25">
      <c r="A317" s="325">
        <f>IF(Info!$J$3&gt;0,Info!$J$3+B317, )</f>
        <v>0</v>
      </c>
      <c r="B317" s="381">
        <v>375</v>
      </c>
      <c r="C317" s="299"/>
      <c r="D317" s="299"/>
      <c r="E317" s="299"/>
      <c r="F317" s="211"/>
      <c r="G317" s="211"/>
      <c r="H317" s="294"/>
      <c r="I317" s="294"/>
      <c r="J317" s="208"/>
      <c r="K317" s="208"/>
    </row>
    <row r="318" spans="1:11" x14ac:dyDescent="0.25">
      <c r="A318" s="325">
        <f>IF(Info!$J$3&gt;0,Info!$J$3+B318, )</f>
        <v>0</v>
      </c>
      <c r="B318" s="335">
        <v>376</v>
      </c>
      <c r="C318" s="299"/>
      <c r="D318" s="299"/>
      <c r="E318" s="299"/>
      <c r="F318" s="211"/>
      <c r="G318" s="211"/>
      <c r="H318" s="294"/>
      <c r="I318" s="294"/>
      <c r="J318" s="208"/>
      <c r="K318" s="208"/>
    </row>
    <row r="319" spans="1:11" x14ac:dyDescent="0.25">
      <c r="A319" s="325">
        <f>IF(Info!$J$3&gt;0,Info!$J$3+B319, )</f>
        <v>0</v>
      </c>
      <c r="B319" s="381">
        <v>377</v>
      </c>
      <c r="C319" s="299"/>
      <c r="D319" s="299"/>
      <c r="E319" s="299"/>
      <c r="F319" s="211"/>
      <c r="G319" s="211"/>
      <c r="H319" s="294"/>
      <c r="I319" s="294"/>
      <c r="J319" s="208"/>
      <c r="K319" s="208"/>
    </row>
    <row r="320" spans="1:11" x14ac:dyDescent="0.25">
      <c r="A320" s="325">
        <f>IF(Info!$J$3&gt;0,Info!$J$3+B320, )</f>
        <v>0</v>
      </c>
      <c r="B320" s="335">
        <v>378</v>
      </c>
      <c r="C320" s="299"/>
      <c r="D320" s="299"/>
      <c r="E320" s="299"/>
      <c r="F320" s="211"/>
      <c r="G320" s="211"/>
      <c r="H320" s="294"/>
      <c r="I320" s="294"/>
      <c r="J320" s="208"/>
      <c r="K320" s="208"/>
    </row>
    <row r="321" spans="1:11" x14ac:dyDescent="0.25">
      <c r="A321" s="326">
        <f>A320</f>
        <v>0</v>
      </c>
      <c r="B321" s="382" t="str">
        <f>Traducción!$B$24&amp;" 54"</f>
        <v>Sem. 54</v>
      </c>
      <c r="C321" s="307">
        <f t="shared" ref="C321:E321" si="150">SUM(C314:C320)</f>
        <v>0</v>
      </c>
      <c r="D321" s="307">
        <f t="shared" si="150"/>
        <v>0</v>
      </c>
      <c r="E321" s="307">
        <f t="shared" si="150"/>
        <v>0</v>
      </c>
      <c r="F321" s="312">
        <f t="shared" ref="F321:G321" si="151">IFERROR(AVERAGE(F314:F320), )</f>
        <v>0</v>
      </c>
      <c r="G321" s="312">
        <f t="shared" si="151"/>
        <v>0</v>
      </c>
      <c r="H321" s="316">
        <f t="shared" ref="H321:I321" si="152">SUM(H314:H320)</f>
        <v>0</v>
      </c>
      <c r="I321" s="316">
        <f t="shared" si="152"/>
        <v>0</v>
      </c>
      <c r="J321" s="329">
        <f t="shared" ref="J321" si="153">IFERROR(AVERAGE(J314:J320), )</f>
        <v>0</v>
      </c>
      <c r="K321" s="224"/>
    </row>
    <row r="322" spans="1:11" x14ac:dyDescent="0.25">
      <c r="A322" s="325">
        <f>IF(Info!$J$3&gt;0,Info!$J$3+B322, )</f>
        <v>0</v>
      </c>
      <c r="B322" s="381">
        <v>379</v>
      </c>
      <c r="C322" s="308"/>
      <c r="D322" s="308"/>
      <c r="E322" s="308"/>
      <c r="F322" s="313"/>
      <c r="G322" s="313"/>
      <c r="H322" s="317"/>
      <c r="I322" s="317"/>
      <c r="J322" s="225"/>
      <c r="K322" s="208"/>
    </row>
    <row r="323" spans="1:11" x14ac:dyDescent="0.25">
      <c r="A323" s="325">
        <f>IF(Info!$J$3&gt;0,Info!$J$3+B323, )</f>
        <v>0</v>
      </c>
      <c r="B323" s="335">
        <v>380</v>
      </c>
      <c r="C323" s="299"/>
      <c r="D323" s="299"/>
      <c r="E323" s="299"/>
      <c r="F323" s="211"/>
      <c r="G323" s="211"/>
      <c r="H323" s="294"/>
      <c r="I323" s="294"/>
      <c r="J323" s="208"/>
      <c r="K323" s="208"/>
    </row>
    <row r="324" spans="1:11" x14ac:dyDescent="0.25">
      <c r="A324" s="325">
        <f>IF(Info!$J$3&gt;0,Info!$J$3+B324, )</f>
        <v>0</v>
      </c>
      <c r="B324" s="381">
        <v>381</v>
      </c>
      <c r="C324" s="299"/>
      <c r="D324" s="299"/>
      <c r="E324" s="299"/>
      <c r="F324" s="211"/>
      <c r="G324" s="211"/>
      <c r="H324" s="294"/>
      <c r="I324" s="294"/>
      <c r="J324" s="208"/>
      <c r="K324" s="208"/>
    </row>
    <row r="325" spans="1:11" x14ac:dyDescent="0.25">
      <c r="A325" s="325">
        <f>IF(Info!$J$3&gt;0,Info!$J$3+B325, )</f>
        <v>0</v>
      </c>
      <c r="B325" s="335">
        <v>382</v>
      </c>
      <c r="C325" s="299"/>
      <c r="D325" s="299"/>
      <c r="E325" s="299"/>
      <c r="F325" s="211"/>
      <c r="G325" s="211"/>
      <c r="H325" s="294"/>
      <c r="I325" s="294"/>
      <c r="J325" s="208"/>
      <c r="K325" s="208"/>
    </row>
    <row r="326" spans="1:11" x14ac:dyDescent="0.25">
      <c r="A326" s="325">
        <f>IF(Info!$J$3&gt;0,Info!$J$3+B326, )</f>
        <v>0</v>
      </c>
      <c r="B326" s="381">
        <v>383</v>
      </c>
      <c r="C326" s="299"/>
      <c r="D326" s="299"/>
      <c r="E326" s="299"/>
      <c r="F326" s="211"/>
      <c r="G326" s="211"/>
      <c r="H326" s="294"/>
      <c r="I326" s="294"/>
      <c r="J326" s="208"/>
      <c r="K326" s="208"/>
    </row>
    <row r="327" spans="1:11" x14ac:dyDescent="0.25">
      <c r="A327" s="325">
        <f>IF(Info!$J$3&gt;0,Info!$J$3+B327, )</f>
        <v>0</v>
      </c>
      <c r="B327" s="335">
        <v>384</v>
      </c>
      <c r="C327" s="299"/>
      <c r="D327" s="299"/>
      <c r="E327" s="299"/>
      <c r="F327" s="211"/>
      <c r="G327" s="211"/>
      <c r="H327" s="294"/>
      <c r="I327" s="294"/>
      <c r="J327" s="208"/>
      <c r="K327" s="208"/>
    </row>
    <row r="328" spans="1:11" x14ac:dyDescent="0.25">
      <c r="A328" s="325">
        <f>IF(Info!$J$3&gt;0,Info!$J$3+B328, )</f>
        <v>0</v>
      </c>
      <c r="B328" s="381">
        <v>385</v>
      </c>
      <c r="C328" s="299"/>
      <c r="D328" s="299"/>
      <c r="E328" s="299"/>
      <c r="F328" s="211"/>
      <c r="G328" s="211"/>
      <c r="H328" s="294"/>
      <c r="I328" s="294"/>
      <c r="J328" s="208"/>
      <c r="K328" s="208"/>
    </row>
    <row r="329" spans="1:11" x14ac:dyDescent="0.25">
      <c r="A329" s="326">
        <f>A328</f>
        <v>0</v>
      </c>
      <c r="B329" s="382" t="str">
        <f>Traducción!$B$24&amp;" 55"</f>
        <v>Sem. 55</v>
      </c>
      <c r="C329" s="307">
        <f t="shared" ref="C329:E329" si="154">SUM(C322:C328)</f>
        <v>0</v>
      </c>
      <c r="D329" s="307">
        <f t="shared" si="154"/>
        <v>0</v>
      </c>
      <c r="E329" s="307">
        <f t="shared" si="154"/>
        <v>0</v>
      </c>
      <c r="F329" s="312">
        <f t="shared" ref="F329:G329" si="155">IFERROR(AVERAGE(F322:F328), )</f>
        <v>0</v>
      </c>
      <c r="G329" s="312">
        <f t="shared" si="155"/>
        <v>0</v>
      </c>
      <c r="H329" s="316">
        <f t="shared" ref="H329:I329" si="156">SUM(H322:H328)</f>
        <v>0</v>
      </c>
      <c r="I329" s="316">
        <f t="shared" si="156"/>
        <v>0</v>
      </c>
      <c r="J329" s="329">
        <f t="shared" ref="J329" si="157">IFERROR(AVERAGE(J322:J328), )</f>
        <v>0</v>
      </c>
      <c r="K329" s="224"/>
    </row>
    <row r="330" spans="1:11" x14ac:dyDescent="0.25">
      <c r="A330" s="325">
        <f>IF(Info!$J$3&gt;0,Info!$J$3+B330, )</f>
        <v>0</v>
      </c>
      <c r="B330" s="335">
        <v>386</v>
      </c>
      <c r="C330" s="308"/>
      <c r="D330" s="308"/>
      <c r="E330" s="308"/>
      <c r="F330" s="313"/>
      <c r="G330" s="313"/>
      <c r="H330" s="317"/>
      <c r="I330" s="317"/>
      <c r="J330" s="225"/>
      <c r="K330" s="208"/>
    </row>
    <row r="331" spans="1:11" x14ac:dyDescent="0.25">
      <c r="A331" s="325">
        <f>IF(Info!$J$3&gt;0,Info!$J$3+B331, )</f>
        <v>0</v>
      </c>
      <c r="B331" s="381">
        <v>387</v>
      </c>
      <c r="C331" s="299"/>
      <c r="D331" s="299"/>
      <c r="E331" s="299"/>
      <c r="F331" s="211"/>
      <c r="G331" s="211"/>
      <c r="H331" s="294"/>
      <c r="I331" s="294"/>
      <c r="J331" s="208"/>
      <c r="K331" s="208"/>
    </row>
    <row r="332" spans="1:11" x14ac:dyDescent="0.25">
      <c r="A332" s="325">
        <f>IF(Info!$J$3&gt;0,Info!$J$3+B332, )</f>
        <v>0</v>
      </c>
      <c r="B332" s="335">
        <v>388</v>
      </c>
      <c r="C332" s="299"/>
      <c r="D332" s="299"/>
      <c r="E332" s="299"/>
      <c r="F332" s="211"/>
      <c r="G332" s="211"/>
      <c r="H332" s="294"/>
      <c r="I332" s="294"/>
      <c r="J332" s="208"/>
      <c r="K332" s="208"/>
    </row>
    <row r="333" spans="1:11" x14ac:dyDescent="0.25">
      <c r="A333" s="325">
        <f>IF(Info!$J$3&gt;0,Info!$J$3+B333, )</f>
        <v>0</v>
      </c>
      <c r="B333" s="381">
        <v>389</v>
      </c>
      <c r="C333" s="299"/>
      <c r="D333" s="299"/>
      <c r="E333" s="299"/>
      <c r="F333" s="211"/>
      <c r="G333" s="211"/>
      <c r="H333" s="294"/>
      <c r="I333" s="294"/>
      <c r="J333" s="208"/>
      <c r="K333" s="208"/>
    </row>
    <row r="334" spans="1:11" x14ac:dyDescent="0.25">
      <c r="A334" s="325">
        <f>IF(Info!$J$3&gt;0,Info!$J$3+B334, )</f>
        <v>0</v>
      </c>
      <c r="B334" s="335">
        <v>390</v>
      </c>
      <c r="C334" s="299"/>
      <c r="D334" s="299"/>
      <c r="E334" s="299"/>
      <c r="F334" s="211"/>
      <c r="G334" s="211"/>
      <c r="H334" s="294"/>
      <c r="I334" s="294"/>
      <c r="J334" s="208"/>
      <c r="K334" s="208"/>
    </row>
    <row r="335" spans="1:11" x14ac:dyDescent="0.25">
      <c r="A335" s="325">
        <f>IF(Info!$J$3&gt;0,Info!$J$3+B335, )</f>
        <v>0</v>
      </c>
      <c r="B335" s="381">
        <v>391</v>
      </c>
      <c r="C335" s="299"/>
      <c r="D335" s="299"/>
      <c r="E335" s="299"/>
      <c r="F335" s="211"/>
      <c r="G335" s="211"/>
      <c r="H335" s="294"/>
      <c r="I335" s="294"/>
      <c r="J335" s="208"/>
      <c r="K335" s="208"/>
    </row>
    <row r="336" spans="1:11" x14ac:dyDescent="0.25">
      <c r="A336" s="325">
        <f>IF(Info!$J$3&gt;0,Info!$J$3+B336, )</f>
        <v>0</v>
      </c>
      <c r="B336" s="335">
        <v>392</v>
      </c>
      <c r="C336" s="299"/>
      <c r="D336" s="299"/>
      <c r="E336" s="299"/>
      <c r="F336" s="211"/>
      <c r="G336" s="211"/>
      <c r="H336" s="294"/>
      <c r="I336" s="294"/>
      <c r="J336" s="208"/>
      <c r="K336" s="208"/>
    </row>
    <row r="337" spans="1:11" x14ac:dyDescent="0.25">
      <c r="A337" s="326">
        <f>A336</f>
        <v>0</v>
      </c>
      <c r="B337" s="382" t="str">
        <f>Traducción!$B$24&amp;" 56"</f>
        <v>Sem. 56</v>
      </c>
      <c r="C337" s="307">
        <f t="shared" ref="C337:E337" si="158">SUM(C330:C336)</f>
        <v>0</v>
      </c>
      <c r="D337" s="307">
        <f t="shared" si="158"/>
        <v>0</v>
      </c>
      <c r="E337" s="307">
        <f t="shared" si="158"/>
        <v>0</v>
      </c>
      <c r="F337" s="312">
        <f t="shared" ref="F337:G337" si="159">IFERROR(AVERAGE(F330:F336), )</f>
        <v>0</v>
      </c>
      <c r="G337" s="312">
        <f t="shared" si="159"/>
        <v>0</v>
      </c>
      <c r="H337" s="316">
        <f t="shared" ref="H337:I337" si="160">SUM(H330:H336)</f>
        <v>0</v>
      </c>
      <c r="I337" s="316">
        <f t="shared" si="160"/>
        <v>0</v>
      </c>
      <c r="J337" s="329">
        <f t="shared" ref="J337" si="161">IFERROR(AVERAGE(J330:J336), )</f>
        <v>0</v>
      </c>
      <c r="K337" s="224"/>
    </row>
    <row r="338" spans="1:11" x14ac:dyDescent="0.25">
      <c r="A338" s="325">
        <f>IF(Info!$J$3&gt;0,Info!$J$3+B338, )</f>
        <v>0</v>
      </c>
      <c r="B338" s="381">
        <v>393</v>
      </c>
      <c r="C338" s="308"/>
      <c r="D338" s="308"/>
      <c r="E338" s="308"/>
      <c r="F338" s="313"/>
      <c r="G338" s="313"/>
      <c r="H338" s="317"/>
      <c r="I338" s="317"/>
      <c r="J338" s="225"/>
      <c r="K338" s="208"/>
    </row>
    <row r="339" spans="1:11" x14ac:dyDescent="0.25">
      <c r="A339" s="325">
        <f>IF(Info!$J$3&gt;0,Info!$J$3+B339, )</f>
        <v>0</v>
      </c>
      <c r="B339" s="335">
        <v>394</v>
      </c>
      <c r="C339" s="299"/>
      <c r="D339" s="299"/>
      <c r="E339" s="299"/>
      <c r="F339" s="211"/>
      <c r="G339" s="211"/>
      <c r="H339" s="294"/>
      <c r="I339" s="294"/>
      <c r="J339" s="208"/>
      <c r="K339" s="208"/>
    </row>
    <row r="340" spans="1:11" x14ac:dyDescent="0.25">
      <c r="A340" s="325">
        <f>IF(Info!$J$3&gt;0,Info!$J$3+B340, )</f>
        <v>0</v>
      </c>
      <c r="B340" s="381">
        <v>395</v>
      </c>
      <c r="C340" s="299"/>
      <c r="D340" s="299"/>
      <c r="E340" s="299"/>
      <c r="F340" s="211"/>
      <c r="G340" s="211"/>
      <c r="H340" s="294"/>
      <c r="I340" s="294"/>
      <c r="J340" s="208"/>
      <c r="K340" s="208"/>
    </row>
    <row r="341" spans="1:11" x14ac:dyDescent="0.25">
      <c r="A341" s="325">
        <f>IF(Info!$J$3&gt;0,Info!$J$3+B341, )</f>
        <v>0</v>
      </c>
      <c r="B341" s="335">
        <v>396</v>
      </c>
      <c r="C341" s="299"/>
      <c r="D341" s="299"/>
      <c r="E341" s="299"/>
      <c r="F341" s="211"/>
      <c r="G341" s="211"/>
      <c r="H341" s="294"/>
      <c r="I341" s="294"/>
      <c r="J341" s="208"/>
      <c r="K341" s="208"/>
    </row>
    <row r="342" spans="1:11" x14ac:dyDescent="0.25">
      <c r="A342" s="325">
        <f>IF(Info!$J$3&gt;0,Info!$J$3+B342, )</f>
        <v>0</v>
      </c>
      <c r="B342" s="381">
        <v>397</v>
      </c>
      <c r="C342" s="299"/>
      <c r="D342" s="299"/>
      <c r="E342" s="299"/>
      <c r="F342" s="211"/>
      <c r="G342" s="211"/>
      <c r="H342" s="294"/>
      <c r="I342" s="294"/>
      <c r="J342" s="208"/>
      <c r="K342" s="208"/>
    </row>
    <row r="343" spans="1:11" x14ac:dyDescent="0.25">
      <c r="A343" s="325">
        <f>IF(Info!$J$3&gt;0,Info!$J$3+B343, )</f>
        <v>0</v>
      </c>
      <c r="B343" s="335">
        <v>398</v>
      </c>
      <c r="C343" s="299"/>
      <c r="D343" s="299"/>
      <c r="E343" s="299"/>
      <c r="F343" s="211"/>
      <c r="G343" s="211"/>
      <c r="H343" s="294"/>
      <c r="I343" s="294"/>
      <c r="J343" s="208"/>
      <c r="K343" s="208"/>
    </row>
    <row r="344" spans="1:11" x14ac:dyDescent="0.25">
      <c r="A344" s="325">
        <f>IF(Info!$J$3&gt;0,Info!$J$3+B344, )</f>
        <v>0</v>
      </c>
      <c r="B344" s="381">
        <v>399</v>
      </c>
      <c r="C344" s="299"/>
      <c r="D344" s="299"/>
      <c r="E344" s="299"/>
      <c r="F344" s="211"/>
      <c r="G344" s="211"/>
      <c r="H344" s="294"/>
      <c r="I344" s="294"/>
      <c r="J344" s="208"/>
      <c r="K344" s="208"/>
    </row>
    <row r="345" spans="1:11" x14ac:dyDescent="0.25">
      <c r="A345" s="326">
        <f>A344</f>
        <v>0</v>
      </c>
      <c r="B345" s="382" t="str">
        <f>Traducción!$B$24&amp;" 57"</f>
        <v>Sem. 57</v>
      </c>
      <c r="C345" s="307">
        <f t="shared" ref="C345:E345" si="162">SUM(C338:C344)</f>
        <v>0</v>
      </c>
      <c r="D345" s="307">
        <f t="shared" si="162"/>
        <v>0</v>
      </c>
      <c r="E345" s="307">
        <f t="shared" si="162"/>
        <v>0</v>
      </c>
      <c r="F345" s="312">
        <f t="shared" ref="F345:G345" si="163">IFERROR(AVERAGE(F338:F344), )</f>
        <v>0</v>
      </c>
      <c r="G345" s="312">
        <f t="shared" si="163"/>
        <v>0</v>
      </c>
      <c r="H345" s="316">
        <f t="shared" ref="H345:I345" si="164">SUM(H338:H344)</f>
        <v>0</v>
      </c>
      <c r="I345" s="316">
        <f t="shared" si="164"/>
        <v>0</v>
      </c>
      <c r="J345" s="329">
        <f t="shared" ref="J345" si="165">IFERROR(AVERAGE(J338:J344), )</f>
        <v>0</v>
      </c>
      <c r="K345" s="224"/>
    </row>
    <row r="346" spans="1:11" x14ac:dyDescent="0.25">
      <c r="A346" s="325">
        <f>IF(Info!$J$3&gt;0,Info!$J$3+B346, )</f>
        <v>0</v>
      </c>
      <c r="B346" s="335">
        <v>400</v>
      </c>
      <c r="C346" s="308"/>
      <c r="D346" s="308"/>
      <c r="E346" s="308"/>
      <c r="F346" s="313"/>
      <c r="G346" s="313"/>
      <c r="H346" s="317"/>
      <c r="I346" s="317"/>
      <c r="J346" s="225"/>
      <c r="K346" s="208"/>
    </row>
    <row r="347" spans="1:11" x14ac:dyDescent="0.25">
      <c r="A347" s="325">
        <f>IF(Info!$J$3&gt;0,Info!$J$3+B347, )</f>
        <v>0</v>
      </c>
      <c r="B347" s="381">
        <v>401</v>
      </c>
      <c r="C347" s="299"/>
      <c r="D347" s="299"/>
      <c r="E347" s="299"/>
      <c r="F347" s="211"/>
      <c r="G347" s="211"/>
      <c r="H347" s="294"/>
      <c r="I347" s="294"/>
      <c r="J347" s="208"/>
      <c r="K347" s="208"/>
    </row>
    <row r="348" spans="1:11" x14ac:dyDescent="0.25">
      <c r="A348" s="325">
        <f>IF(Info!$J$3&gt;0,Info!$J$3+B348, )</f>
        <v>0</v>
      </c>
      <c r="B348" s="335">
        <v>402</v>
      </c>
      <c r="C348" s="299"/>
      <c r="D348" s="299"/>
      <c r="E348" s="299"/>
      <c r="F348" s="211"/>
      <c r="G348" s="211"/>
      <c r="H348" s="294"/>
      <c r="I348" s="294"/>
      <c r="J348" s="208"/>
      <c r="K348" s="208"/>
    </row>
    <row r="349" spans="1:11" x14ac:dyDescent="0.25">
      <c r="A349" s="325">
        <f>IF(Info!$J$3&gt;0,Info!$J$3+B349, )</f>
        <v>0</v>
      </c>
      <c r="B349" s="381">
        <v>403</v>
      </c>
      <c r="C349" s="299"/>
      <c r="D349" s="299"/>
      <c r="E349" s="299"/>
      <c r="F349" s="211"/>
      <c r="G349" s="211"/>
      <c r="H349" s="294"/>
      <c r="I349" s="294"/>
      <c r="J349" s="208"/>
      <c r="K349" s="208"/>
    </row>
    <row r="350" spans="1:11" x14ac:dyDescent="0.25">
      <c r="A350" s="325">
        <f>IF(Info!$J$3&gt;0,Info!$J$3+B350, )</f>
        <v>0</v>
      </c>
      <c r="B350" s="335">
        <v>404</v>
      </c>
      <c r="C350" s="299"/>
      <c r="D350" s="299"/>
      <c r="E350" s="299"/>
      <c r="F350" s="211"/>
      <c r="G350" s="211"/>
      <c r="H350" s="294"/>
      <c r="I350" s="294"/>
      <c r="J350" s="208"/>
      <c r="K350" s="208"/>
    </row>
    <row r="351" spans="1:11" x14ac:dyDescent="0.25">
      <c r="A351" s="325">
        <f>IF(Info!$J$3&gt;0,Info!$J$3+B351, )</f>
        <v>0</v>
      </c>
      <c r="B351" s="381">
        <v>405</v>
      </c>
      <c r="C351" s="299"/>
      <c r="D351" s="299"/>
      <c r="E351" s="299"/>
      <c r="F351" s="211"/>
      <c r="G351" s="211"/>
      <c r="H351" s="294"/>
      <c r="I351" s="294"/>
      <c r="J351" s="208"/>
      <c r="K351" s="208"/>
    </row>
    <row r="352" spans="1:11" x14ac:dyDescent="0.25">
      <c r="A352" s="325">
        <f>IF(Info!$J$3&gt;0,Info!$J$3+B352, )</f>
        <v>0</v>
      </c>
      <c r="B352" s="335">
        <v>406</v>
      </c>
      <c r="C352" s="299"/>
      <c r="D352" s="299"/>
      <c r="E352" s="299"/>
      <c r="F352" s="211"/>
      <c r="G352" s="211"/>
      <c r="H352" s="294"/>
      <c r="I352" s="294"/>
      <c r="J352" s="208"/>
      <c r="K352" s="208"/>
    </row>
    <row r="353" spans="1:11" x14ac:dyDescent="0.25">
      <c r="A353" s="326">
        <f>A352</f>
        <v>0</v>
      </c>
      <c r="B353" s="382" t="str">
        <f>Traducción!$B$24&amp;" 58"</f>
        <v>Sem. 58</v>
      </c>
      <c r="C353" s="307">
        <f t="shared" ref="C353:E353" si="166">SUM(C346:C352)</f>
        <v>0</v>
      </c>
      <c r="D353" s="307">
        <f t="shared" si="166"/>
        <v>0</v>
      </c>
      <c r="E353" s="307">
        <f t="shared" si="166"/>
        <v>0</v>
      </c>
      <c r="F353" s="312">
        <f t="shared" ref="F353:G353" si="167">IFERROR(AVERAGE(F346:F352), )</f>
        <v>0</v>
      </c>
      <c r="G353" s="312">
        <f t="shared" si="167"/>
        <v>0</v>
      </c>
      <c r="H353" s="316">
        <f t="shared" ref="H353:I353" si="168">SUM(H346:H352)</f>
        <v>0</v>
      </c>
      <c r="I353" s="316">
        <f t="shared" si="168"/>
        <v>0</v>
      </c>
      <c r="J353" s="329">
        <f t="shared" ref="J353" si="169">IFERROR(AVERAGE(J346:J352), )</f>
        <v>0</v>
      </c>
      <c r="K353" s="224"/>
    </row>
    <row r="354" spans="1:11" x14ac:dyDescent="0.25">
      <c r="A354" s="325">
        <f>IF(Info!$J$3&gt;0,Info!$J$3+B354, )</f>
        <v>0</v>
      </c>
      <c r="B354" s="381">
        <v>407</v>
      </c>
      <c r="C354" s="308"/>
      <c r="D354" s="308"/>
      <c r="E354" s="308"/>
      <c r="F354" s="313"/>
      <c r="G354" s="313"/>
      <c r="H354" s="317"/>
      <c r="I354" s="317"/>
      <c r="J354" s="225"/>
      <c r="K354" s="208"/>
    </row>
    <row r="355" spans="1:11" x14ac:dyDescent="0.25">
      <c r="A355" s="325">
        <f>IF(Info!$J$3&gt;0,Info!$J$3+B355, )</f>
        <v>0</v>
      </c>
      <c r="B355" s="335">
        <v>408</v>
      </c>
      <c r="C355" s="299"/>
      <c r="D355" s="299"/>
      <c r="E355" s="299"/>
      <c r="F355" s="211"/>
      <c r="G355" s="211"/>
      <c r="H355" s="294"/>
      <c r="I355" s="294"/>
      <c r="J355" s="208"/>
      <c r="K355" s="208"/>
    </row>
    <row r="356" spans="1:11" x14ac:dyDescent="0.25">
      <c r="A356" s="325">
        <f>IF(Info!$J$3&gt;0,Info!$J$3+B356, )</f>
        <v>0</v>
      </c>
      <c r="B356" s="381">
        <v>409</v>
      </c>
      <c r="C356" s="299"/>
      <c r="D356" s="299"/>
      <c r="E356" s="299"/>
      <c r="F356" s="211"/>
      <c r="G356" s="211"/>
      <c r="H356" s="294"/>
      <c r="I356" s="294"/>
      <c r="J356" s="208"/>
      <c r="K356" s="208"/>
    </row>
    <row r="357" spans="1:11" x14ac:dyDescent="0.25">
      <c r="A357" s="325">
        <f>IF(Info!$J$3&gt;0,Info!$J$3+B357, )</f>
        <v>0</v>
      </c>
      <c r="B357" s="335">
        <v>410</v>
      </c>
      <c r="C357" s="299"/>
      <c r="D357" s="299"/>
      <c r="E357" s="299"/>
      <c r="F357" s="211"/>
      <c r="G357" s="211"/>
      <c r="H357" s="294"/>
      <c r="I357" s="294"/>
      <c r="J357" s="208"/>
      <c r="K357" s="208"/>
    </row>
    <row r="358" spans="1:11" x14ac:dyDescent="0.25">
      <c r="A358" s="325">
        <f>IF(Info!$J$3&gt;0,Info!$J$3+B358, )</f>
        <v>0</v>
      </c>
      <c r="B358" s="381">
        <v>411</v>
      </c>
      <c r="C358" s="299"/>
      <c r="D358" s="299"/>
      <c r="E358" s="299"/>
      <c r="F358" s="211"/>
      <c r="G358" s="211"/>
      <c r="H358" s="294"/>
      <c r="I358" s="294"/>
      <c r="J358" s="208"/>
      <c r="K358" s="208"/>
    </row>
    <row r="359" spans="1:11" x14ac:dyDescent="0.25">
      <c r="A359" s="325">
        <f>IF(Info!$J$3&gt;0,Info!$J$3+B359, )</f>
        <v>0</v>
      </c>
      <c r="B359" s="335">
        <v>412</v>
      </c>
      <c r="C359" s="299"/>
      <c r="D359" s="299"/>
      <c r="E359" s="299"/>
      <c r="F359" s="211"/>
      <c r="G359" s="211"/>
      <c r="H359" s="294"/>
      <c r="I359" s="294"/>
      <c r="J359" s="208"/>
      <c r="K359" s="208"/>
    </row>
    <row r="360" spans="1:11" x14ac:dyDescent="0.25">
      <c r="A360" s="325">
        <f>IF(Info!$J$3&gt;0,Info!$J$3+B360, )</f>
        <v>0</v>
      </c>
      <c r="B360" s="381">
        <v>413</v>
      </c>
      <c r="C360" s="299"/>
      <c r="D360" s="299"/>
      <c r="E360" s="299"/>
      <c r="F360" s="211"/>
      <c r="G360" s="211"/>
      <c r="H360" s="294"/>
      <c r="I360" s="294"/>
      <c r="J360" s="208"/>
      <c r="K360" s="208"/>
    </row>
    <row r="361" spans="1:11" x14ac:dyDescent="0.25">
      <c r="A361" s="326">
        <f>A360</f>
        <v>0</v>
      </c>
      <c r="B361" s="382" t="str">
        <f>Traducción!$B$24&amp;" 59"</f>
        <v>Sem. 59</v>
      </c>
      <c r="C361" s="307">
        <f t="shared" ref="C361:E361" si="170">SUM(C354:C360)</f>
        <v>0</v>
      </c>
      <c r="D361" s="307">
        <f t="shared" si="170"/>
        <v>0</v>
      </c>
      <c r="E361" s="307">
        <f t="shared" si="170"/>
        <v>0</v>
      </c>
      <c r="F361" s="312">
        <f t="shared" ref="F361:G361" si="171">IFERROR(AVERAGE(F354:F360), )</f>
        <v>0</v>
      </c>
      <c r="G361" s="312">
        <f t="shared" si="171"/>
        <v>0</v>
      </c>
      <c r="H361" s="316">
        <f t="shared" ref="H361:I361" si="172">SUM(H354:H360)</f>
        <v>0</v>
      </c>
      <c r="I361" s="316">
        <f t="shared" si="172"/>
        <v>0</v>
      </c>
      <c r="J361" s="329">
        <f t="shared" ref="J361" si="173">IFERROR(AVERAGE(J354:J360), )</f>
        <v>0</v>
      </c>
      <c r="K361" s="224"/>
    </row>
    <row r="362" spans="1:11" x14ac:dyDescent="0.25">
      <c r="A362" s="325">
        <f>IF(Info!$J$3&gt;0,Info!$J$3+B362, )</f>
        <v>0</v>
      </c>
      <c r="B362" s="335">
        <v>414</v>
      </c>
      <c r="C362" s="308"/>
      <c r="D362" s="308"/>
      <c r="E362" s="308"/>
      <c r="F362" s="313"/>
      <c r="G362" s="313"/>
      <c r="H362" s="317"/>
      <c r="I362" s="317"/>
      <c r="J362" s="225"/>
      <c r="K362" s="208"/>
    </row>
    <row r="363" spans="1:11" x14ac:dyDescent="0.25">
      <c r="A363" s="325">
        <f>IF(Info!$J$3&gt;0,Info!$J$3+B363, )</f>
        <v>0</v>
      </c>
      <c r="B363" s="381">
        <v>415</v>
      </c>
      <c r="C363" s="299"/>
      <c r="D363" s="299"/>
      <c r="E363" s="299"/>
      <c r="F363" s="211"/>
      <c r="G363" s="211"/>
      <c r="H363" s="294"/>
      <c r="I363" s="294"/>
      <c r="J363" s="208"/>
      <c r="K363" s="208"/>
    </row>
    <row r="364" spans="1:11" x14ac:dyDescent="0.25">
      <c r="A364" s="325">
        <f>IF(Info!$J$3&gt;0,Info!$J$3+B364, )</f>
        <v>0</v>
      </c>
      <c r="B364" s="335">
        <v>416</v>
      </c>
      <c r="C364" s="299"/>
      <c r="D364" s="299"/>
      <c r="E364" s="299"/>
      <c r="F364" s="211"/>
      <c r="G364" s="211"/>
      <c r="H364" s="294"/>
      <c r="I364" s="294"/>
      <c r="J364" s="208"/>
      <c r="K364" s="208"/>
    </row>
    <row r="365" spans="1:11" x14ac:dyDescent="0.25">
      <c r="A365" s="325">
        <f>IF(Info!$J$3&gt;0,Info!$J$3+B365, )</f>
        <v>0</v>
      </c>
      <c r="B365" s="381">
        <v>417</v>
      </c>
      <c r="C365" s="299"/>
      <c r="D365" s="299"/>
      <c r="E365" s="299"/>
      <c r="F365" s="211"/>
      <c r="G365" s="211"/>
      <c r="H365" s="294"/>
      <c r="I365" s="294"/>
      <c r="J365" s="208"/>
      <c r="K365" s="208"/>
    </row>
    <row r="366" spans="1:11" x14ac:dyDescent="0.25">
      <c r="A366" s="325">
        <f>IF(Info!$J$3&gt;0,Info!$J$3+B366, )</f>
        <v>0</v>
      </c>
      <c r="B366" s="335">
        <v>418</v>
      </c>
      <c r="C366" s="299"/>
      <c r="D366" s="299"/>
      <c r="E366" s="299"/>
      <c r="F366" s="211"/>
      <c r="G366" s="211"/>
      <c r="H366" s="294"/>
      <c r="I366" s="294"/>
      <c r="J366" s="208"/>
      <c r="K366" s="208"/>
    </row>
    <row r="367" spans="1:11" x14ac:dyDescent="0.25">
      <c r="A367" s="325">
        <f>IF(Info!$J$3&gt;0,Info!$J$3+B367, )</f>
        <v>0</v>
      </c>
      <c r="B367" s="381">
        <v>419</v>
      </c>
      <c r="C367" s="299"/>
      <c r="D367" s="299"/>
      <c r="E367" s="299"/>
      <c r="F367" s="211"/>
      <c r="G367" s="211"/>
      <c r="H367" s="294"/>
      <c r="I367" s="294"/>
      <c r="J367" s="208"/>
      <c r="K367" s="208"/>
    </row>
    <row r="368" spans="1:11" x14ac:dyDescent="0.25">
      <c r="A368" s="325">
        <f>IF(Info!$J$3&gt;0,Info!$J$3+B368, )</f>
        <v>0</v>
      </c>
      <c r="B368" s="335">
        <v>420</v>
      </c>
      <c r="C368" s="299"/>
      <c r="D368" s="299"/>
      <c r="E368" s="299"/>
      <c r="F368" s="211"/>
      <c r="G368" s="211"/>
      <c r="H368" s="294"/>
      <c r="I368" s="294"/>
      <c r="J368" s="208"/>
      <c r="K368" s="208"/>
    </row>
    <row r="369" spans="1:11" x14ac:dyDescent="0.25">
      <c r="A369" s="326">
        <f>A368</f>
        <v>0</v>
      </c>
      <c r="B369" s="382" t="str">
        <f>Traducción!$B$24&amp;" 60"</f>
        <v>Sem. 60</v>
      </c>
      <c r="C369" s="307">
        <f t="shared" ref="C369:E369" si="174">SUM(C362:C368)</f>
        <v>0</v>
      </c>
      <c r="D369" s="307">
        <f t="shared" si="174"/>
        <v>0</v>
      </c>
      <c r="E369" s="307">
        <f t="shared" si="174"/>
        <v>0</v>
      </c>
      <c r="F369" s="312">
        <f t="shared" ref="F369:G369" si="175">IFERROR(AVERAGE(F362:F368), )</f>
        <v>0</v>
      </c>
      <c r="G369" s="312">
        <f t="shared" si="175"/>
        <v>0</v>
      </c>
      <c r="H369" s="316">
        <f t="shared" ref="H369:I369" si="176">SUM(H362:H368)</f>
        <v>0</v>
      </c>
      <c r="I369" s="316">
        <f t="shared" si="176"/>
        <v>0</v>
      </c>
      <c r="J369" s="329">
        <f t="shared" ref="J369" si="177">IFERROR(AVERAGE(J362:J368), )</f>
        <v>0</v>
      </c>
      <c r="K369" s="224"/>
    </row>
    <row r="370" spans="1:11" x14ac:dyDescent="0.25">
      <c r="A370" s="325">
        <f>IF(Info!$J$3&gt;0,Info!$J$3+B370, )</f>
        <v>0</v>
      </c>
      <c r="B370" s="381">
        <v>421</v>
      </c>
      <c r="C370" s="308"/>
      <c r="D370" s="308"/>
      <c r="E370" s="308"/>
      <c r="F370" s="313"/>
      <c r="G370" s="313"/>
      <c r="H370" s="317"/>
      <c r="I370" s="317"/>
      <c r="J370" s="225"/>
      <c r="K370" s="208"/>
    </row>
    <row r="371" spans="1:11" x14ac:dyDescent="0.25">
      <c r="A371" s="325">
        <f>IF(Info!$J$3&gt;0,Info!$J$3+B371, )</f>
        <v>0</v>
      </c>
      <c r="B371" s="335">
        <v>422</v>
      </c>
      <c r="C371" s="299"/>
      <c r="D371" s="299"/>
      <c r="E371" s="299"/>
      <c r="F371" s="211"/>
      <c r="G371" s="211"/>
      <c r="H371" s="294"/>
      <c r="I371" s="294"/>
      <c r="J371" s="208"/>
      <c r="K371" s="208"/>
    </row>
    <row r="372" spans="1:11" x14ac:dyDescent="0.25">
      <c r="A372" s="325">
        <f>IF(Info!$J$3&gt;0,Info!$J$3+B372, )</f>
        <v>0</v>
      </c>
      <c r="B372" s="381">
        <v>423</v>
      </c>
      <c r="C372" s="299"/>
      <c r="D372" s="299"/>
      <c r="E372" s="299"/>
      <c r="F372" s="211"/>
      <c r="G372" s="211"/>
      <c r="H372" s="294"/>
      <c r="I372" s="294"/>
      <c r="J372" s="208"/>
      <c r="K372" s="208"/>
    </row>
    <row r="373" spans="1:11" x14ac:dyDescent="0.25">
      <c r="A373" s="325">
        <f>IF(Info!$J$3&gt;0,Info!$J$3+B373, )</f>
        <v>0</v>
      </c>
      <c r="B373" s="335">
        <v>424</v>
      </c>
      <c r="C373" s="299"/>
      <c r="D373" s="299"/>
      <c r="E373" s="299"/>
      <c r="F373" s="211"/>
      <c r="G373" s="211"/>
      <c r="H373" s="294"/>
      <c r="I373" s="294"/>
      <c r="J373" s="208"/>
      <c r="K373" s="208"/>
    </row>
    <row r="374" spans="1:11" x14ac:dyDescent="0.25">
      <c r="A374" s="325">
        <f>IF(Info!$J$3&gt;0,Info!$J$3+B374, )</f>
        <v>0</v>
      </c>
      <c r="B374" s="381">
        <v>425</v>
      </c>
      <c r="C374" s="299"/>
      <c r="D374" s="299"/>
      <c r="E374" s="299"/>
      <c r="F374" s="211"/>
      <c r="G374" s="211"/>
      <c r="H374" s="294"/>
      <c r="I374" s="294"/>
      <c r="J374" s="208"/>
      <c r="K374" s="208"/>
    </row>
    <row r="375" spans="1:11" x14ac:dyDescent="0.25">
      <c r="A375" s="325">
        <f>IF(Info!$J$3&gt;0,Info!$J$3+B375, )</f>
        <v>0</v>
      </c>
      <c r="B375" s="335">
        <v>426</v>
      </c>
      <c r="C375" s="299"/>
      <c r="D375" s="299"/>
      <c r="E375" s="299"/>
      <c r="F375" s="211"/>
      <c r="G375" s="211"/>
      <c r="H375" s="294"/>
      <c r="I375" s="294"/>
      <c r="J375" s="208"/>
      <c r="K375" s="208"/>
    </row>
    <row r="376" spans="1:11" x14ac:dyDescent="0.25">
      <c r="A376" s="325">
        <f>IF(Info!$J$3&gt;0,Info!$J$3+B376, )</f>
        <v>0</v>
      </c>
      <c r="B376" s="381">
        <v>427</v>
      </c>
      <c r="C376" s="299"/>
      <c r="D376" s="299"/>
      <c r="E376" s="299"/>
      <c r="F376" s="211"/>
      <c r="G376" s="211"/>
      <c r="H376" s="294"/>
      <c r="I376" s="294"/>
      <c r="J376" s="208"/>
      <c r="K376" s="208"/>
    </row>
    <row r="377" spans="1:11" x14ac:dyDescent="0.25">
      <c r="A377" s="326">
        <f>A376</f>
        <v>0</v>
      </c>
      <c r="B377" s="382" t="str">
        <f>Traducción!$B$24&amp;" 61"</f>
        <v>Sem. 61</v>
      </c>
      <c r="C377" s="307">
        <f t="shared" ref="C377:E377" si="178">SUM(C370:C376)</f>
        <v>0</v>
      </c>
      <c r="D377" s="307">
        <f t="shared" si="178"/>
        <v>0</v>
      </c>
      <c r="E377" s="307">
        <f t="shared" si="178"/>
        <v>0</v>
      </c>
      <c r="F377" s="312">
        <f t="shared" ref="F377:G377" si="179">IFERROR(AVERAGE(F370:F376), )</f>
        <v>0</v>
      </c>
      <c r="G377" s="312">
        <f t="shared" si="179"/>
        <v>0</v>
      </c>
      <c r="H377" s="316">
        <f t="shared" ref="H377:I377" si="180">SUM(H370:H376)</f>
        <v>0</v>
      </c>
      <c r="I377" s="316">
        <f t="shared" si="180"/>
        <v>0</v>
      </c>
      <c r="J377" s="329">
        <f t="shared" ref="J377" si="181">IFERROR(AVERAGE(J370:J376), )</f>
        <v>0</v>
      </c>
      <c r="K377" s="224"/>
    </row>
    <row r="378" spans="1:11" x14ac:dyDescent="0.25">
      <c r="A378" s="325">
        <f>IF(Info!$J$3&gt;0,Info!$J$3+B378, )</f>
        <v>0</v>
      </c>
      <c r="B378" s="335">
        <v>428</v>
      </c>
      <c r="C378" s="308"/>
      <c r="D378" s="308"/>
      <c r="E378" s="308"/>
      <c r="F378" s="313"/>
      <c r="G378" s="313"/>
      <c r="H378" s="317"/>
      <c r="I378" s="317"/>
      <c r="J378" s="225"/>
      <c r="K378" s="208"/>
    </row>
    <row r="379" spans="1:11" x14ac:dyDescent="0.25">
      <c r="A379" s="325">
        <f>IF(Info!$J$3&gt;0,Info!$J$3+B379, )</f>
        <v>0</v>
      </c>
      <c r="B379" s="381">
        <v>429</v>
      </c>
      <c r="C379" s="299"/>
      <c r="D379" s="299"/>
      <c r="E379" s="299"/>
      <c r="F379" s="211"/>
      <c r="G379" s="211"/>
      <c r="H379" s="294"/>
      <c r="I379" s="294"/>
      <c r="J379" s="208"/>
      <c r="K379" s="208"/>
    </row>
    <row r="380" spans="1:11" x14ac:dyDescent="0.25">
      <c r="A380" s="325">
        <f>IF(Info!$J$3&gt;0,Info!$J$3+B380, )</f>
        <v>0</v>
      </c>
      <c r="B380" s="335">
        <v>430</v>
      </c>
      <c r="C380" s="299"/>
      <c r="D380" s="299"/>
      <c r="E380" s="299"/>
      <c r="F380" s="211"/>
      <c r="G380" s="211"/>
      <c r="H380" s="294"/>
      <c r="I380" s="294"/>
      <c r="J380" s="208"/>
      <c r="K380" s="208"/>
    </row>
    <row r="381" spans="1:11" x14ac:dyDescent="0.25">
      <c r="A381" s="325">
        <f>IF(Info!$J$3&gt;0,Info!$J$3+B381, )</f>
        <v>0</v>
      </c>
      <c r="B381" s="381">
        <v>431</v>
      </c>
      <c r="C381" s="299"/>
      <c r="D381" s="299"/>
      <c r="E381" s="299"/>
      <c r="F381" s="211"/>
      <c r="G381" s="211"/>
      <c r="H381" s="294"/>
      <c r="I381" s="294"/>
      <c r="J381" s="208"/>
      <c r="K381" s="208"/>
    </row>
    <row r="382" spans="1:11" x14ac:dyDescent="0.25">
      <c r="A382" s="325">
        <f>IF(Info!$J$3&gt;0,Info!$J$3+B382, )</f>
        <v>0</v>
      </c>
      <c r="B382" s="335">
        <v>432</v>
      </c>
      <c r="C382" s="299"/>
      <c r="D382" s="299"/>
      <c r="E382" s="299"/>
      <c r="F382" s="211"/>
      <c r="G382" s="211"/>
      <c r="H382" s="294"/>
      <c r="I382" s="294"/>
      <c r="J382" s="208"/>
      <c r="K382" s="208"/>
    </row>
    <row r="383" spans="1:11" x14ac:dyDescent="0.25">
      <c r="A383" s="325">
        <f>IF(Info!$J$3&gt;0,Info!$J$3+B383, )</f>
        <v>0</v>
      </c>
      <c r="B383" s="381">
        <v>433</v>
      </c>
      <c r="C383" s="299"/>
      <c r="D383" s="299"/>
      <c r="E383" s="299"/>
      <c r="F383" s="211"/>
      <c r="G383" s="211"/>
      <c r="H383" s="294"/>
      <c r="I383" s="294"/>
      <c r="J383" s="208"/>
      <c r="K383" s="208"/>
    </row>
    <row r="384" spans="1:11" x14ac:dyDescent="0.25">
      <c r="A384" s="325">
        <f>IF(Info!$J$3&gt;0,Info!$J$3+B384, )</f>
        <v>0</v>
      </c>
      <c r="B384" s="335">
        <v>434</v>
      </c>
      <c r="C384" s="299"/>
      <c r="D384" s="299"/>
      <c r="E384" s="299"/>
      <c r="F384" s="211"/>
      <c r="G384" s="211"/>
      <c r="H384" s="294"/>
      <c r="I384" s="294"/>
      <c r="J384" s="208"/>
      <c r="K384" s="208"/>
    </row>
    <row r="385" spans="1:11" x14ac:dyDescent="0.25">
      <c r="A385" s="326">
        <f>A384</f>
        <v>0</v>
      </c>
      <c r="B385" s="382" t="str">
        <f>Traducción!$B$24&amp;" 62"</f>
        <v>Sem. 62</v>
      </c>
      <c r="C385" s="307">
        <f t="shared" ref="C385:E385" si="182">SUM(C378:C384)</f>
        <v>0</v>
      </c>
      <c r="D385" s="307">
        <f t="shared" si="182"/>
        <v>0</v>
      </c>
      <c r="E385" s="307">
        <f t="shared" si="182"/>
        <v>0</v>
      </c>
      <c r="F385" s="312">
        <f t="shared" ref="F385:G385" si="183">IFERROR(AVERAGE(F378:F384), )</f>
        <v>0</v>
      </c>
      <c r="G385" s="312">
        <f t="shared" si="183"/>
        <v>0</v>
      </c>
      <c r="H385" s="316">
        <f t="shared" ref="H385:I385" si="184">SUM(H378:H384)</f>
        <v>0</v>
      </c>
      <c r="I385" s="316">
        <f t="shared" si="184"/>
        <v>0</v>
      </c>
      <c r="J385" s="329">
        <f t="shared" ref="J385" si="185">IFERROR(AVERAGE(J378:J384), )</f>
        <v>0</v>
      </c>
      <c r="K385" s="224"/>
    </row>
    <row r="386" spans="1:11" x14ac:dyDescent="0.25">
      <c r="A386" s="325">
        <f>IF(Info!$J$3&gt;0,Info!$J$3+B386, )</f>
        <v>0</v>
      </c>
      <c r="B386" s="381">
        <v>435</v>
      </c>
      <c r="C386" s="308"/>
      <c r="D386" s="308"/>
      <c r="E386" s="308"/>
      <c r="F386" s="313"/>
      <c r="G386" s="313"/>
      <c r="H386" s="317"/>
      <c r="I386" s="317"/>
      <c r="J386" s="225"/>
      <c r="K386" s="208"/>
    </row>
    <row r="387" spans="1:11" x14ac:dyDescent="0.25">
      <c r="A387" s="325">
        <f>IF(Info!$J$3&gt;0,Info!$J$3+B387, )</f>
        <v>0</v>
      </c>
      <c r="B387" s="335">
        <v>436</v>
      </c>
      <c r="C387" s="299"/>
      <c r="D387" s="299"/>
      <c r="E387" s="299"/>
      <c r="F387" s="211"/>
      <c r="G387" s="211"/>
      <c r="H387" s="294"/>
      <c r="I387" s="294"/>
      <c r="J387" s="208"/>
      <c r="K387" s="208"/>
    </row>
    <row r="388" spans="1:11" x14ac:dyDescent="0.25">
      <c r="A388" s="325">
        <f>IF(Info!$J$3&gt;0,Info!$J$3+B388, )</f>
        <v>0</v>
      </c>
      <c r="B388" s="381">
        <v>437</v>
      </c>
      <c r="C388" s="299"/>
      <c r="D388" s="299"/>
      <c r="E388" s="299"/>
      <c r="F388" s="211"/>
      <c r="G388" s="211"/>
      <c r="H388" s="294"/>
      <c r="I388" s="294"/>
      <c r="J388" s="208"/>
      <c r="K388" s="208"/>
    </row>
    <row r="389" spans="1:11" x14ac:dyDescent="0.25">
      <c r="A389" s="325">
        <f>IF(Info!$J$3&gt;0,Info!$J$3+B389, )</f>
        <v>0</v>
      </c>
      <c r="B389" s="335">
        <v>438</v>
      </c>
      <c r="C389" s="299"/>
      <c r="D389" s="299"/>
      <c r="E389" s="299"/>
      <c r="F389" s="211"/>
      <c r="G389" s="211"/>
      <c r="H389" s="294"/>
      <c r="I389" s="294"/>
      <c r="J389" s="208"/>
      <c r="K389" s="208"/>
    </row>
    <row r="390" spans="1:11" x14ac:dyDescent="0.25">
      <c r="A390" s="325">
        <f>IF(Info!$J$3&gt;0,Info!$J$3+B390, )</f>
        <v>0</v>
      </c>
      <c r="B390" s="381">
        <v>439</v>
      </c>
      <c r="C390" s="299"/>
      <c r="D390" s="299"/>
      <c r="E390" s="299"/>
      <c r="F390" s="211"/>
      <c r="G390" s="211"/>
      <c r="H390" s="294"/>
      <c r="I390" s="294"/>
      <c r="J390" s="208"/>
      <c r="K390" s="208"/>
    </row>
    <row r="391" spans="1:11" x14ac:dyDescent="0.25">
      <c r="A391" s="325">
        <f>IF(Info!$J$3&gt;0,Info!$J$3+B391, )</f>
        <v>0</v>
      </c>
      <c r="B391" s="335">
        <v>440</v>
      </c>
      <c r="C391" s="299"/>
      <c r="D391" s="299"/>
      <c r="E391" s="299"/>
      <c r="F391" s="211"/>
      <c r="G391" s="211"/>
      <c r="H391" s="294"/>
      <c r="I391" s="294"/>
      <c r="J391" s="208"/>
      <c r="K391" s="208"/>
    </row>
    <row r="392" spans="1:11" x14ac:dyDescent="0.25">
      <c r="A392" s="325">
        <f>IF(Info!$J$3&gt;0,Info!$J$3+B392, )</f>
        <v>0</v>
      </c>
      <c r="B392" s="381">
        <v>441</v>
      </c>
      <c r="C392" s="299"/>
      <c r="D392" s="299"/>
      <c r="E392" s="299"/>
      <c r="F392" s="211"/>
      <c r="G392" s="211"/>
      <c r="H392" s="294"/>
      <c r="I392" s="294"/>
      <c r="J392" s="208"/>
      <c r="K392" s="208"/>
    </row>
    <row r="393" spans="1:11" x14ac:dyDescent="0.25">
      <c r="A393" s="326">
        <f>A392</f>
        <v>0</v>
      </c>
      <c r="B393" s="382" t="str">
        <f>Traducción!$B$24&amp;" 63"</f>
        <v>Sem. 63</v>
      </c>
      <c r="C393" s="307">
        <f t="shared" ref="C393:E393" si="186">SUM(C386:C392)</f>
        <v>0</v>
      </c>
      <c r="D393" s="307">
        <f t="shared" si="186"/>
        <v>0</v>
      </c>
      <c r="E393" s="307">
        <f t="shared" si="186"/>
        <v>0</v>
      </c>
      <c r="F393" s="312">
        <f t="shared" ref="F393:G393" si="187">IFERROR(AVERAGE(F386:F392), )</f>
        <v>0</v>
      </c>
      <c r="G393" s="312">
        <f t="shared" si="187"/>
        <v>0</v>
      </c>
      <c r="H393" s="316">
        <f t="shared" ref="H393:I393" si="188">SUM(H386:H392)</f>
        <v>0</v>
      </c>
      <c r="I393" s="316">
        <f t="shared" si="188"/>
        <v>0</v>
      </c>
      <c r="J393" s="329">
        <f t="shared" ref="J393" si="189">IFERROR(AVERAGE(J386:J392), )</f>
        <v>0</v>
      </c>
      <c r="K393" s="224"/>
    </row>
    <row r="394" spans="1:11" x14ac:dyDescent="0.25">
      <c r="A394" s="325">
        <f>IF(Info!$J$3&gt;0,Info!$J$3+B394, )</f>
        <v>0</v>
      </c>
      <c r="B394" s="335">
        <v>442</v>
      </c>
      <c r="C394" s="308"/>
      <c r="D394" s="308"/>
      <c r="E394" s="308"/>
      <c r="F394" s="313"/>
      <c r="G394" s="313"/>
      <c r="H394" s="317"/>
      <c r="I394" s="317"/>
      <c r="J394" s="225"/>
      <c r="K394" s="208"/>
    </row>
    <row r="395" spans="1:11" x14ac:dyDescent="0.25">
      <c r="A395" s="325">
        <f>IF(Info!$J$3&gt;0,Info!$J$3+B395, )</f>
        <v>0</v>
      </c>
      <c r="B395" s="381">
        <v>443</v>
      </c>
      <c r="C395" s="299"/>
      <c r="D395" s="299"/>
      <c r="E395" s="299"/>
      <c r="F395" s="211"/>
      <c r="G395" s="211"/>
      <c r="H395" s="294"/>
      <c r="I395" s="294"/>
      <c r="J395" s="208"/>
      <c r="K395" s="208"/>
    </row>
    <row r="396" spans="1:11" x14ac:dyDescent="0.25">
      <c r="A396" s="325">
        <f>IF(Info!$J$3&gt;0,Info!$J$3+B396, )</f>
        <v>0</v>
      </c>
      <c r="B396" s="335">
        <v>444</v>
      </c>
      <c r="C396" s="299"/>
      <c r="D396" s="299"/>
      <c r="E396" s="299"/>
      <c r="F396" s="211"/>
      <c r="G396" s="211"/>
      <c r="H396" s="294"/>
      <c r="I396" s="294"/>
      <c r="J396" s="208"/>
      <c r="K396" s="208"/>
    </row>
    <row r="397" spans="1:11" x14ac:dyDescent="0.25">
      <c r="A397" s="325">
        <f>IF(Info!$J$3&gt;0,Info!$J$3+B397, )</f>
        <v>0</v>
      </c>
      <c r="B397" s="381">
        <v>445</v>
      </c>
      <c r="C397" s="299"/>
      <c r="D397" s="299"/>
      <c r="E397" s="299"/>
      <c r="F397" s="211"/>
      <c r="G397" s="211"/>
      <c r="H397" s="294"/>
      <c r="I397" s="294"/>
      <c r="J397" s="208"/>
      <c r="K397" s="208"/>
    </row>
    <row r="398" spans="1:11" x14ac:dyDescent="0.25">
      <c r="A398" s="325">
        <f>IF(Info!$J$3&gt;0,Info!$J$3+B398, )</f>
        <v>0</v>
      </c>
      <c r="B398" s="335">
        <v>446</v>
      </c>
      <c r="C398" s="299"/>
      <c r="D398" s="299"/>
      <c r="E398" s="299"/>
      <c r="F398" s="211"/>
      <c r="G398" s="211"/>
      <c r="H398" s="294"/>
      <c r="I398" s="294"/>
      <c r="J398" s="208"/>
      <c r="K398" s="208"/>
    </row>
    <row r="399" spans="1:11" x14ac:dyDescent="0.25">
      <c r="A399" s="325">
        <f>IF(Info!$J$3&gt;0,Info!$J$3+B399, )</f>
        <v>0</v>
      </c>
      <c r="B399" s="381">
        <v>447</v>
      </c>
      <c r="C399" s="299"/>
      <c r="D399" s="299"/>
      <c r="E399" s="299"/>
      <c r="F399" s="211"/>
      <c r="G399" s="211"/>
      <c r="H399" s="294"/>
      <c r="I399" s="294"/>
      <c r="J399" s="208"/>
      <c r="K399" s="208"/>
    </row>
    <row r="400" spans="1:11" x14ac:dyDescent="0.25">
      <c r="A400" s="325">
        <f>IF(Info!$J$3&gt;0,Info!$J$3+B400, )</f>
        <v>0</v>
      </c>
      <c r="B400" s="335">
        <v>448</v>
      </c>
      <c r="C400" s="299"/>
      <c r="D400" s="299"/>
      <c r="E400" s="299"/>
      <c r="F400" s="211"/>
      <c r="G400" s="211"/>
      <c r="H400" s="294"/>
      <c r="I400" s="294"/>
      <c r="J400" s="208"/>
      <c r="K400" s="208"/>
    </row>
    <row r="401" spans="1:11" x14ac:dyDescent="0.25">
      <c r="A401" s="326">
        <f>A400</f>
        <v>0</v>
      </c>
      <c r="B401" s="382" t="str">
        <f>Traducción!$B$24&amp;" 64"</f>
        <v>Sem. 64</v>
      </c>
      <c r="C401" s="307">
        <f t="shared" ref="C401:E401" si="190">SUM(C394:C400)</f>
        <v>0</v>
      </c>
      <c r="D401" s="307">
        <f t="shared" si="190"/>
        <v>0</v>
      </c>
      <c r="E401" s="307">
        <f t="shared" si="190"/>
        <v>0</v>
      </c>
      <c r="F401" s="312">
        <f t="shared" ref="F401:G401" si="191">IFERROR(AVERAGE(F394:F400), )</f>
        <v>0</v>
      </c>
      <c r="G401" s="312">
        <f t="shared" si="191"/>
        <v>0</v>
      </c>
      <c r="H401" s="316">
        <f t="shared" ref="H401:I401" si="192">SUM(H394:H400)</f>
        <v>0</v>
      </c>
      <c r="I401" s="316">
        <f t="shared" si="192"/>
        <v>0</v>
      </c>
      <c r="J401" s="329">
        <f t="shared" ref="J401" si="193">IFERROR(AVERAGE(J394:J400), )</f>
        <v>0</v>
      </c>
      <c r="K401" s="224"/>
    </row>
    <row r="402" spans="1:11" x14ac:dyDescent="0.25">
      <c r="A402" s="325">
        <f>IF(Info!$J$3&gt;0,Info!$J$3+B402, )</f>
        <v>0</v>
      </c>
      <c r="B402" s="381">
        <v>449</v>
      </c>
      <c r="C402" s="308"/>
      <c r="D402" s="308"/>
      <c r="E402" s="308"/>
      <c r="F402" s="313"/>
      <c r="G402" s="313"/>
      <c r="H402" s="317"/>
      <c r="I402" s="317"/>
      <c r="J402" s="225"/>
      <c r="K402" s="208"/>
    </row>
    <row r="403" spans="1:11" x14ac:dyDescent="0.25">
      <c r="A403" s="325">
        <f>IF(Info!$J$3&gt;0,Info!$J$3+B403, )</f>
        <v>0</v>
      </c>
      <c r="B403" s="335">
        <v>450</v>
      </c>
      <c r="C403" s="299"/>
      <c r="D403" s="299"/>
      <c r="E403" s="299"/>
      <c r="F403" s="211"/>
      <c r="G403" s="211"/>
      <c r="H403" s="294"/>
      <c r="I403" s="294"/>
      <c r="J403" s="208"/>
      <c r="K403" s="208"/>
    </row>
    <row r="404" spans="1:11" x14ac:dyDescent="0.25">
      <c r="A404" s="325">
        <f>IF(Info!$J$3&gt;0,Info!$J$3+B404, )</f>
        <v>0</v>
      </c>
      <c r="B404" s="381">
        <v>451</v>
      </c>
      <c r="C404" s="299"/>
      <c r="D404" s="299"/>
      <c r="E404" s="299"/>
      <c r="F404" s="211"/>
      <c r="G404" s="211"/>
      <c r="H404" s="294"/>
      <c r="I404" s="294"/>
      <c r="J404" s="208"/>
      <c r="K404" s="208"/>
    </row>
    <row r="405" spans="1:11" x14ac:dyDescent="0.25">
      <c r="A405" s="325">
        <f>IF(Info!$J$3&gt;0,Info!$J$3+B405, )</f>
        <v>0</v>
      </c>
      <c r="B405" s="335">
        <v>452</v>
      </c>
      <c r="C405" s="299"/>
      <c r="D405" s="299"/>
      <c r="E405" s="299"/>
      <c r="F405" s="211"/>
      <c r="G405" s="211"/>
      <c r="H405" s="294"/>
      <c r="I405" s="294"/>
      <c r="J405" s="208"/>
      <c r="K405" s="208"/>
    </row>
    <row r="406" spans="1:11" x14ac:dyDescent="0.25">
      <c r="A406" s="325">
        <f>IF(Info!$J$3&gt;0,Info!$J$3+B406, )</f>
        <v>0</v>
      </c>
      <c r="B406" s="381">
        <v>453</v>
      </c>
      <c r="C406" s="299"/>
      <c r="D406" s="299"/>
      <c r="E406" s="299"/>
      <c r="F406" s="211"/>
      <c r="G406" s="211"/>
      <c r="H406" s="294"/>
      <c r="I406" s="294"/>
      <c r="J406" s="208"/>
      <c r="K406" s="208"/>
    </row>
    <row r="407" spans="1:11" x14ac:dyDescent="0.25">
      <c r="A407" s="325">
        <f>IF(Info!$J$3&gt;0,Info!$J$3+B407, )</f>
        <v>0</v>
      </c>
      <c r="B407" s="335">
        <v>454</v>
      </c>
      <c r="C407" s="299"/>
      <c r="D407" s="299"/>
      <c r="E407" s="299"/>
      <c r="F407" s="211"/>
      <c r="G407" s="211"/>
      <c r="H407" s="294"/>
      <c r="I407" s="294"/>
      <c r="J407" s="208"/>
      <c r="K407" s="208"/>
    </row>
    <row r="408" spans="1:11" x14ac:dyDescent="0.25">
      <c r="A408" s="325">
        <f>IF(Info!$J$3&gt;0,Info!$J$3+B408, )</f>
        <v>0</v>
      </c>
      <c r="B408" s="381">
        <v>455</v>
      </c>
      <c r="C408" s="299"/>
      <c r="D408" s="299"/>
      <c r="E408" s="299"/>
      <c r="F408" s="211"/>
      <c r="G408" s="211"/>
      <c r="H408" s="294"/>
      <c r="I408" s="294"/>
      <c r="J408" s="208"/>
      <c r="K408" s="208"/>
    </row>
    <row r="409" spans="1:11" x14ac:dyDescent="0.25">
      <c r="A409" s="326">
        <f>A408</f>
        <v>0</v>
      </c>
      <c r="B409" s="382" t="str">
        <f>Traducción!$B$24&amp;" 65"</f>
        <v>Sem. 65</v>
      </c>
      <c r="C409" s="307">
        <f t="shared" ref="C409:E409" si="194">SUM(C402:C408)</f>
        <v>0</v>
      </c>
      <c r="D409" s="307">
        <f t="shared" si="194"/>
        <v>0</v>
      </c>
      <c r="E409" s="307">
        <f t="shared" si="194"/>
        <v>0</v>
      </c>
      <c r="F409" s="312">
        <f t="shared" ref="F409:G409" si="195">IFERROR(AVERAGE(F402:F408), )</f>
        <v>0</v>
      </c>
      <c r="G409" s="312">
        <f t="shared" si="195"/>
        <v>0</v>
      </c>
      <c r="H409" s="316">
        <f t="shared" ref="H409:I409" si="196">SUM(H402:H408)</f>
        <v>0</v>
      </c>
      <c r="I409" s="316">
        <f t="shared" si="196"/>
        <v>0</v>
      </c>
      <c r="J409" s="329">
        <f t="shared" ref="J409" si="197">IFERROR(AVERAGE(J402:J408), )</f>
        <v>0</v>
      </c>
      <c r="K409" s="224"/>
    </row>
    <row r="410" spans="1:11" x14ac:dyDescent="0.25">
      <c r="A410" s="325">
        <f>IF(Info!$J$3&gt;0,Info!$J$3+B410, )</f>
        <v>0</v>
      </c>
      <c r="B410" s="335">
        <v>456</v>
      </c>
      <c r="C410" s="308"/>
      <c r="D410" s="308"/>
      <c r="E410" s="308"/>
      <c r="F410" s="313"/>
      <c r="G410" s="313"/>
      <c r="H410" s="317"/>
      <c r="I410" s="317"/>
      <c r="J410" s="225"/>
      <c r="K410" s="208"/>
    </row>
    <row r="411" spans="1:11" x14ac:dyDescent="0.25">
      <c r="A411" s="325">
        <f>IF(Info!$J$3&gt;0,Info!$J$3+B411, )</f>
        <v>0</v>
      </c>
      <c r="B411" s="381">
        <v>457</v>
      </c>
      <c r="C411" s="299"/>
      <c r="D411" s="299"/>
      <c r="E411" s="299"/>
      <c r="F411" s="211"/>
      <c r="G411" s="211"/>
      <c r="H411" s="294"/>
      <c r="I411" s="294"/>
      <c r="J411" s="208"/>
      <c r="K411" s="208"/>
    </row>
    <row r="412" spans="1:11" x14ac:dyDescent="0.25">
      <c r="A412" s="325">
        <f>IF(Info!$J$3&gt;0,Info!$J$3+B412, )</f>
        <v>0</v>
      </c>
      <c r="B412" s="335">
        <v>458</v>
      </c>
      <c r="C412" s="299"/>
      <c r="D412" s="299"/>
      <c r="E412" s="299"/>
      <c r="F412" s="211"/>
      <c r="G412" s="211"/>
      <c r="H412" s="294"/>
      <c r="I412" s="294"/>
      <c r="J412" s="208"/>
      <c r="K412" s="208"/>
    </row>
    <row r="413" spans="1:11" x14ac:dyDescent="0.25">
      <c r="A413" s="325">
        <f>IF(Info!$J$3&gt;0,Info!$J$3+B413, )</f>
        <v>0</v>
      </c>
      <c r="B413" s="381">
        <v>459</v>
      </c>
      <c r="C413" s="299"/>
      <c r="D413" s="299"/>
      <c r="E413" s="299"/>
      <c r="F413" s="211"/>
      <c r="G413" s="211"/>
      <c r="H413" s="294"/>
      <c r="I413" s="294"/>
      <c r="J413" s="208"/>
      <c r="K413" s="208"/>
    </row>
    <row r="414" spans="1:11" x14ac:dyDescent="0.25">
      <c r="A414" s="325">
        <f>IF(Info!$J$3&gt;0,Info!$J$3+B414, )</f>
        <v>0</v>
      </c>
      <c r="B414" s="335">
        <v>460</v>
      </c>
      <c r="C414" s="299"/>
      <c r="D414" s="299"/>
      <c r="E414" s="299"/>
      <c r="F414" s="211"/>
      <c r="G414" s="211"/>
      <c r="H414" s="294"/>
      <c r="I414" s="294"/>
      <c r="J414" s="208"/>
      <c r="K414" s="208"/>
    </row>
    <row r="415" spans="1:11" x14ac:dyDescent="0.25">
      <c r="A415" s="325">
        <f>IF(Info!$J$3&gt;0,Info!$J$3+B415, )</f>
        <v>0</v>
      </c>
      <c r="B415" s="381">
        <v>461</v>
      </c>
      <c r="C415" s="299"/>
      <c r="D415" s="299"/>
      <c r="E415" s="299"/>
      <c r="F415" s="211"/>
      <c r="G415" s="211"/>
      <c r="H415" s="294"/>
      <c r="I415" s="294"/>
      <c r="J415" s="208"/>
      <c r="K415" s="208"/>
    </row>
    <row r="416" spans="1:11" x14ac:dyDescent="0.25">
      <c r="A416" s="325">
        <f>IF(Info!$J$3&gt;0,Info!$J$3+B416, )</f>
        <v>0</v>
      </c>
      <c r="B416" s="335">
        <v>462</v>
      </c>
      <c r="C416" s="299"/>
      <c r="D416" s="299"/>
      <c r="E416" s="299"/>
      <c r="F416" s="211"/>
      <c r="G416" s="211"/>
      <c r="H416" s="294"/>
      <c r="I416" s="294"/>
      <c r="J416" s="208"/>
      <c r="K416" s="208"/>
    </row>
    <row r="417" spans="1:11" x14ac:dyDescent="0.25">
      <c r="A417" s="326">
        <f>A416</f>
        <v>0</v>
      </c>
      <c r="B417" s="382" t="str">
        <f>Traducción!$B$24&amp;" 66"</f>
        <v>Sem. 66</v>
      </c>
      <c r="C417" s="307">
        <f t="shared" ref="C417:E417" si="198">SUM(C410:C416)</f>
        <v>0</v>
      </c>
      <c r="D417" s="307">
        <f t="shared" si="198"/>
        <v>0</v>
      </c>
      <c r="E417" s="307">
        <f t="shared" si="198"/>
        <v>0</v>
      </c>
      <c r="F417" s="312">
        <f t="shared" ref="F417:G417" si="199">IFERROR(AVERAGE(F410:F416), )</f>
        <v>0</v>
      </c>
      <c r="G417" s="312">
        <f t="shared" si="199"/>
        <v>0</v>
      </c>
      <c r="H417" s="316">
        <f t="shared" ref="H417:I417" si="200">SUM(H410:H416)</f>
        <v>0</v>
      </c>
      <c r="I417" s="316">
        <f t="shared" si="200"/>
        <v>0</v>
      </c>
      <c r="J417" s="329">
        <f t="shared" ref="J417" si="201">IFERROR(AVERAGE(J410:J416), )</f>
        <v>0</v>
      </c>
      <c r="K417" s="224"/>
    </row>
    <row r="418" spans="1:11" x14ac:dyDescent="0.25">
      <c r="A418" s="325">
        <f>IF(Info!$J$3&gt;0,Info!$J$3+B418, )</f>
        <v>0</v>
      </c>
      <c r="B418" s="381">
        <v>463</v>
      </c>
      <c r="C418" s="308"/>
      <c r="D418" s="308"/>
      <c r="E418" s="308"/>
      <c r="F418" s="313"/>
      <c r="G418" s="313"/>
      <c r="H418" s="317"/>
      <c r="I418" s="317"/>
      <c r="J418" s="225"/>
      <c r="K418" s="208"/>
    </row>
    <row r="419" spans="1:11" x14ac:dyDescent="0.25">
      <c r="A419" s="325">
        <f>IF(Info!$J$3&gt;0,Info!$J$3+B419, )</f>
        <v>0</v>
      </c>
      <c r="B419" s="335">
        <v>464</v>
      </c>
      <c r="C419" s="299"/>
      <c r="D419" s="299"/>
      <c r="E419" s="299"/>
      <c r="F419" s="211"/>
      <c r="G419" s="211"/>
      <c r="H419" s="294"/>
      <c r="I419" s="294"/>
      <c r="J419" s="208"/>
      <c r="K419" s="208"/>
    </row>
    <row r="420" spans="1:11" x14ac:dyDescent="0.25">
      <c r="A420" s="325">
        <f>IF(Info!$J$3&gt;0,Info!$J$3+B420, )</f>
        <v>0</v>
      </c>
      <c r="B420" s="381">
        <v>465</v>
      </c>
      <c r="C420" s="299"/>
      <c r="D420" s="299"/>
      <c r="E420" s="299"/>
      <c r="F420" s="211"/>
      <c r="G420" s="211"/>
      <c r="H420" s="294"/>
      <c r="I420" s="294"/>
      <c r="J420" s="208"/>
      <c r="K420" s="208"/>
    </row>
    <row r="421" spans="1:11" x14ac:dyDescent="0.25">
      <c r="A421" s="325">
        <f>IF(Info!$J$3&gt;0,Info!$J$3+B421, )</f>
        <v>0</v>
      </c>
      <c r="B421" s="335">
        <v>466</v>
      </c>
      <c r="C421" s="299"/>
      <c r="D421" s="299"/>
      <c r="E421" s="299"/>
      <c r="F421" s="211"/>
      <c r="G421" s="211"/>
      <c r="H421" s="294"/>
      <c r="I421" s="294"/>
      <c r="J421" s="208"/>
      <c r="K421" s="208"/>
    </row>
    <row r="422" spans="1:11" x14ac:dyDescent="0.25">
      <c r="A422" s="325">
        <f>IF(Info!$J$3&gt;0,Info!$J$3+B422, )</f>
        <v>0</v>
      </c>
      <c r="B422" s="381">
        <v>467</v>
      </c>
      <c r="C422" s="299"/>
      <c r="D422" s="299"/>
      <c r="E422" s="299"/>
      <c r="F422" s="211"/>
      <c r="G422" s="211"/>
      <c r="H422" s="294"/>
      <c r="I422" s="294"/>
      <c r="J422" s="208"/>
      <c r="K422" s="208"/>
    </row>
    <row r="423" spans="1:11" x14ac:dyDescent="0.25">
      <c r="A423" s="325">
        <f>IF(Info!$J$3&gt;0,Info!$J$3+B423, )</f>
        <v>0</v>
      </c>
      <c r="B423" s="335">
        <v>468</v>
      </c>
      <c r="C423" s="299"/>
      <c r="D423" s="299"/>
      <c r="E423" s="299"/>
      <c r="F423" s="211"/>
      <c r="G423" s="211"/>
      <c r="H423" s="294"/>
      <c r="I423" s="294"/>
      <c r="J423" s="208"/>
      <c r="K423" s="208"/>
    </row>
    <row r="424" spans="1:11" x14ac:dyDescent="0.25">
      <c r="A424" s="325">
        <f>IF(Info!$J$3&gt;0,Info!$J$3+B424, )</f>
        <v>0</v>
      </c>
      <c r="B424" s="381">
        <v>469</v>
      </c>
      <c r="C424" s="299"/>
      <c r="D424" s="299"/>
      <c r="E424" s="299"/>
      <c r="F424" s="211"/>
      <c r="G424" s="211"/>
      <c r="H424" s="294"/>
      <c r="I424" s="294"/>
      <c r="J424" s="208"/>
      <c r="K424" s="208"/>
    </row>
    <row r="425" spans="1:11" x14ac:dyDescent="0.25">
      <c r="A425" s="326">
        <f>A424</f>
        <v>0</v>
      </c>
      <c r="B425" s="382" t="str">
        <f>Traducción!$B$24&amp;" 67"</f>
        <v>Sem. 67</v>
      </c>
      <c r="C425" s="307">
        <f t="shared" ref="C425:E425" si="202">SUM(C418:C424)</f>
        <v>0</v>
      </c>
      <c r="D425" s="307">
        <f t="shared" si="202"/>
        <v>0</v>
      </c>
      <c r="E425" s="307">
        <f t="shared" si="202"/>
        <v>0</v>
      </c>
      <c r="F425" s="312">
        <f t="shared" ref="F425:G425" si="203">IFERROR(AVERAGE(F418:F424), )</f>
        <v>0</v>
      </c>
      <c r="G425" s="312">
        <f t="shared" si="203"/>
        <v>0</v>
      </c>
      <c r="H425" s="316">
        <f t="shared" ref="H425:I425" si="204">SUM(H418:H424)</f>
        <v>0</v>
      </c>
      <c r="I425" s="316">
        <f t="shared" si="204"/>
        <v>0</v>
      </c>
      <c r="J425" s="329">
        <f t="shared" ref="J425" si="205">IFERROR(AVERAGE(J418:J424), )</f>
        <v>0</v>
      </c>
      <c r="K425" s="224"/>
    </row>
    <row r="426" spans="1:11" x14ac:dyDescent="0.25">
      <c r="A426" s="325">
        <f>IF(Info!$J$3&gt;0,Info!$J$3+B426, )</f>
        <v>0</v>
      </c>
      <c r="B426" s="335">
        <v>470</v>
      </c>
      <c r="C426" s="308"/>
      <c r="D426" s="308"/>
      <c r="E426" s="308"/>
      <c r="F426" s="313"/>
      <c r="G426" s="313"/>
      <c r="H426" s="317"/>
      <c r="I426" s="317"/>
      <c r="J426" s="225"/>
      <c r="K426" s="208"/>
    </row>
    <row r="427" spans="1:11" x14ac:dyDescent="0.25">
      <c r="A427" s="325">
        <f>IF(Info!$J$3&gt;0,Info!$J$3+B427, )</f>
        <v>0</v>
      </c>
      <c r="B427" s="381">
        <v>471</v>
      </c>
      <c r="C427" s="299"/>
      <c r="D427" s="299"/>
      <c r="E427" s="299"/>
      <c r="F427" s="211"/>
      <c r="G427" s="211"/>
      <c r="H427" s="294"/>
      <c r="I427" s="294"/>
      <c r="J427" s="208"/>
      <c r="K427" s="208"/>
    </row>
    <row r="428" spans="1:11" x14ac:dyDescent="0.25">
      <c r="A428" s="325">
        <f>IF(Info!$J$3&gt;0,Info!$J$3+B428, )</f>
        <v>0</v>
      </c>
      <c r="B428" s="335">
        <v>472</v>
      </c>
      <c r="C428" s="299"/>
      <c r="D428" s="299"/>
      <c r="E428" s="299"/>
      <c r="F428" s="211"/>
      <c r="G428" s="211"/>
      <c r="H428" s="294"/>
      <c r="I428" s="294"/>
      <c r="J428" s="208"/>
      <c r="K428" s="208"/>
    </row>
    <row r="429" spans="1:11" x14ac:dyDescent="0.25">
      <c r="A429" s="325">
        <f>IF(Info!$J$3&gt;0,Info!$J$3+B429, )</f>
        <v>0</v>
      </c>
      <c r="B429" s="381">
        <v>473</v>
      </c>
      <c r="C429" s="299"/>
      <c r="D429" s="299"/>
      <c r="E429" s="299"/>
      <c r="F429" s="211"/>
      <c r="G429" s="211"/>
      <c r="H429" s="294"/>
      <c r="I429" s="294"/>
      <c r="J429" s="208"/>
      <c r="K429" s="208"/>
    </row>
    <row r="430" spans="1:11" x14ac:dyDescent="0.25">
      <c r="A430" s="325">
        <f>IF(Info!$J$3&gt;0,Info!$J$3+B430, )</f>
        <v>0</v>
      </c>
      <c r="B430" s="335">
        <v>474</v>
      </c>
      <c r="C430" s="299"/>
      <c r="D430" s="299"/>
      <c r="E430" s="299"/>
      <c r="F430" s="211"/>
      <c r="G430" s="211"/>
      <c r="H430" s="294"/>
      <c r="I430" s="294"/>
      <c r="J430" s="208"/>
      <c r="K430" s="208"/>
    </row>
    <row r="431" spans="1:11" x14ac:dyDescent="0.25">
      <c r="A431" s="325">
        <f>IF(Info!$J$3&gt;0,Info!$J$3+B431, )</f>
        <v>0</v>
      </c>
      <c r="B431" s="381">
        <v>475</v>
      </c>
      <c r="C431" s="299"/>
      <c r="D431" s="299"/>
      <c r="E431" s="299"/>
      <c r="F431" s="211"/>
      <c r="G431" s="211"/>
      <c r="H431" s="294"/>
      <c r="I431" s="294"/>
      <c r="J431" s="208"/>
      <c r="K431" s="208"/>
    </row>
    <row r="432" spans="1:11" x14ac:dyDescent="0.25">
      <c r="A432" s="325">
        <f>IF(Info!$J$3&gt;0,Info!$J$3+B432, )</f>
        <v>0</v>
      </c>
      <c r="B432" s="335">
        <v>476</v>
      </c>
      <c r="C432" s="299"/>
      <c r="D432" s="299"/>
      <c r="E432" s="299"/>
      <c r="F432" s="211"/>
      <c r="G432" s="211"/>
      <c r="H432" s="294"/>
      <c r="I432" s="294"/>
      <c r="J432" s="208"/>
      <c r="K432" s="208"/>
    </row>
    <row r="433" spans="1:11" x14ac:dyDescent="0.25">
      <c r="A433" s="326">
        <f>A432</f>
        <v>0</v>
      </c>
      <c r="B433" s="382" t="str">
        <f>Traducción!$B$24&amp;" 68"</f>
        <v>Sem. 68</v>
      </c>
      <c r="C433" s="307">
        <f t="shared" ref="C433:E433" si="206">SUM(C426:C432)</f>
        <v>0</v>
      </c>
      <c r="D433" s="307">
        <f t="shared" si="206"/>
        <v>0</v>
      </c>
      <c r="E433" s="307">
        <f t="shared" si="206"/>
        <v>0</v>
      </c>
      <c r="F433" s="312">
        <f t="shared" ref="F433:G433" si="207">IFERROR(AVERAGE(F426:F432), )</f>
        <v>0</v>
      </c>
      <c r="G433" s="312">
        <f t="shared" si="207"/>
        <v>0</v>
      </c>
      <c r="H433" s="316">
        <f t="shared" ref="H433:I433" si="208">SUM(H426:H432)</f>
        <v>0</v>
      </c>
      <c r="I433" s="316">
        <f t="shared" si="208"/>
        <v>0</v>
      </c>
      <c r="J433" s="329">
        <f t="shared" ref="J433" si="209">IFERROR(AVERAGE(J426:J432), )</f>
        <v>0</v>
      </c>
      <c r="K433" s="224"/>
    </row>
    <row r="434" spans="1:11" x14ac:dyDescent="0.25">
      <c r="A434" s="325">
        <f>IF(Info!$J$3&gt;0,Info!$J$3+B434, )</f>
        <v>0</v>
      </c>
      <c r="B434" s="381">
        <v>477</v>
      </c>
      <c r="C434" s="308"/>
      <c r="D434" s="308"/>
      <c r="E434" s="308"/>
      <c r="F434" s="313"/>
      <c r="G434" s="313"/>
      <c r="H434" s="317"/>
      <c r="I434" s="317"/>
      <c r="J434" s="225"/>
      <c r="K434" s="208"/>
    </row>
    <row r="435" spans="1:11" x14ac:dyDescent="0.25">
      <c r="A435" s="325">
        <f>IF(Info!$J$3&gt;0,Info!$J$3+B435, )</f>
        <v>0</v>
      </c>
      <c r="B435" s="335">
        <v>478</v>
      </c>
      <c r="C435" s="299"/>
      <c r="D435" s="299"/>
      <c r="E435" s="299"/>
      <c r="F435" s="211"/>
      <c r="G435" s="211"/>
      <c r="H435" s="294"/>
      <c r="I435" s="294"/>
      <c r="J435" s="208"/>
      <c r="K435" s="208"/>
    </row>
    <row r="436" spans="1:11" x14ac:dyDescent="0.25">
      <c r="A436" s="325">
        <f>IF(Info!$J$3&gt;0,Info!$J$3+B436, )</f>
        <v>0</v>
      </c>
      <c r="B436" s="381">
        <v>479</v>
      </c>
      <c r="C436" s="299"/>
      <c r="D436" s="299"/>
      <c r="E436" s="299"/>
      <c r="F436" s="211"/>
      <c r="G436" s="211"/>
      <c r="H436" s="294"/>
      <c r="I436" s="294"/>
      <c r="J436" s="208"/>
      <c r="K436" s="208"/>
    </row>
    <row r="437" spans="1:11" x14ac:dyDescent="0.25">
      <c r="A437" s="325">
        <f>IF(Info!$J$3&gt;0,Info!$J$3+B437, )</f>
        <v>0</v>
      </c>
      <c r="B437" s="335">
        <v>480</v>
      </c>
      <c r="C437" s="299"/>
      <c r="D437" s="299"/>
      <c r="E437" s="299"/>
      <c r="F437" s="211"/>
      <c r="G437" s="211"/>
      <c r="H437" s="294"/>
      <c r="I437" s="294"/>
      <c r="J437" s="208"/>
      <c r="K437" s="208"/>
    </row>
    <row r="438" spans="1:11" x14ac:dyDescent="0.25">
      <c r="A438" s="325">
        <f>IF(Info!$J$3&gt;0,Info!$J$3+B438, )</f>
        <v>0</v>
      </c>
      <c r="B438" s="381">
        <v>481</v>
      </c>
      <c r="C438" s="299"/>
      <c r="D438" s="299"/>
      <c r="E438" s="299"/>
      <c r="F438" s="211"/>
      <c r="G438" s="211"/>
      <c r="H438" s="294"/>
      <c r="I438" s="294"/>
      <c r="J438" s="208"/>
      <c r="K438" s="208"/>
    </row>
    <row r="439" spans="1:11" x14ac:dyDescent="0.25">
      <c r="A439" s="325">
        <f>IF(Info!$J$3&gt;0,Info!$J$3+B439, )</f>
        <v>0</v>
      </c>
      <c r="B439" s="335">
        <v>482</v>
      </c>
      <c r="C439" s="299"/>
      <c r="D439" s="299"/>
      <c r="E439" s="299"/>
      <c r="F439" s="211"/>
      <c r="G439" s="211"/>
      <c r="H439" s="294"/>
      <c r="I439" s="294"/>
      <c r="J439" s="208"/>
      <c r="K439" s="208"/>
    </row>
    <row r="440" spans="1:11" x14ac:dyDescent="0.25">
      <c r="A440" s="325">
        <f>IF(Info!$J$3&gt;0,Info!$J$3+B440, )</f>
        <v>0</v>
      </c>
      <c r="B440" s="381">
        <v>483</v>
      </c>
      <c r="C440" s="299"/>
      <c r="D440" s="299"/>
      <c r="E440" s="299"/>
      <c r="F440" s="211"/>
      <c r="G440" s="211"/>
      <c r="H440" s="294"/>
      <c r="I440" s="294"/>
      <c r="J440" s="208"/>
      <c r="K440" s="208"/>
    </row>
    <row r="441" spans="1:11" x14ac:dyDescent="0.25">
      <c r="A441" s="326">
        <f>A440</f>
        <v>0</v>
      </c>
      <c r="B441" s="382" t="str">
        <f>Traducción!$B$24&amp;" 69"</f>
        <v>Sem. 69</v>
      </c>
      <c r="C441" s="307">
        <f t="shared" ref="C441:E441" si="210">SUM(C434:C440)</f>
        <v>0</v>
      </c>
      <c r="D441" s="307">
        <f t="shared" si="210"/>
        <v>0</v>
      </c>
      <c r="E441" s="307">
        <f t="shared" si="210"/>
        <v>0</v>
      </c>
      <c r="F441" s="312">
        <f t="shared" ref="F441:G441" si="211">IFERROR(AVERAGE(F434:F440), )</f>
        <v>0</v>
      </c>
      <c r="G441" s="312">
        <f t="shared" si="211"/>
        <v>0</v>
      </c>
      <c r="H441" s="316">
        <f t="shared" ref="H441:I441" si="212">SUM(H434:H440)</f>
        <v>0</v>
      </c>
      <c r="I441" s="316">
        <f t="shared" si="212"/>
        <v>0</v>
      </c>
      <c r="J441" s="329">
        <f t="shared" ref="J441" si="213">IFERROR(AVERAGE(J434:J440), )</f>
        <v>0</v>
      </c>
      <c r="K441" s="224"/>
    </row>
    <row r="442" spans="1:11" x14ac:dyDescent="0.25">
      <c r="A442" s="325">
        <f>IF(Info!$J$3&gt;0,Info!$J$3+B442, )</f>
        <v>0</v>
      </c>
      <c r="B442" s="335">
        <v>484</v>
      </c>
      <c r="C442" s="308"/>
      <c r="D442" s="308"/>
      <c r="E442" s="308"/>
      <c r="F442" s="313"/>
      <c r="G442" s="313"/>
      <c r="H442" s="317"/>
      <c r="I442" s="317"/>
      <c r="J442" s="225"/>
      <c r="K442" s="208"/>
    </row>
    <row r="443" spans="1:11" x14ac:dyDescent="0.25">
      <c r="A443" s="325">
        <f>IF(Info!$J$3&gt;0,Info!$J$3+B443, )</f>
        <v>0</v>
      </c>
      <c r="B443" s="381">
        <v>485</v>
      </c>
      <c r="C443" s="299"/>
      <c r="D443" s="299"/>
      <c r="E443" s="299"/>
      <c r="F443" s="211"/>
      <c r="G443" s="211"/>
      <c r="H443" s="294"/>
      <c r="I443" s="294"/>
      <c r="J443" s="208"/>
      <c r="K443" s="208"/>
    </row>
    <row r="444" spans="1:11" x14ac:dyDescent="0.25">
      <c r="A444" s="325">
        <f>IF(Info!$J$3&gt;0,Info!$J$3+B444, )</f>
        <v>0</v>
      </c>
      <c r="B444" s="335">
        <v>486</v>
      </c>
      <c r="C444" s="299"/>
      <c r="D444" s="299"/>
      <c r="E444" s="299"/>
      <c r="F444" s="211"/>
      <c r="G444" s="211"/>
      <c r="H444" s="294"/>
      <c r="I444" s="294"/>
      <c r="J444" s="208"/>
      <c r="K444" s="208"/>
    </row>
    <row r="445" spans="1:11" x14ac:dyDescent="0.25">
      <c r="A445" s="325">
        <f>IF(Info!$J$3&gt;0,Info!$J$3+B445, )</f>
        <v>0</v>
      </c>
      <c r="B445" s="381">
        <v>487</v>
      </c>
      <c r="C445" s="299"/>
      <c r="D445" s="299"/>
      <c r="E445" s="299"/>
      <c r="F445" s="211"/>
      <c r="G445" s="211"/>
      <c r="H445" s="294"/>
      <c r="I445" s="294"/>
      <c r="J445" s="208"/>
      <c r="K445" s="208"/>
    </row>
    <row r="446" spans="1:11" x14ac:dyDescent="0.25">
      <c r="A446" s="325">
        <f>IF(Info!$J$3&gt;0,Info!$J$3+B446, )</f>
        <v>0</v>
      </c>
      <c r="B446" s="335">
        <v>488</v>
      </c>
      <c r="C446" s="299"/>
      <c r="D446" s="299"/>
      <c r="E446" s="299"/>
      <c r="F446" s="211"/>
      <c r="G446" s="211"/>
      <c r="H446" s="294"/>
      <c r="I446" s="294"/>
      <c r="J446" s="208"/>
      <c r="K446" s="208"/>
    </row>
    <row r="447" spans="1:11" x14ac:dyDescent="0.25">
      <c r="A447" s="325">
        <f>IF(Info!$J$3&gt;0,Info!$J$3+B447, )</f>
        <v>0</v>
      </c>
      <c r="B447" s="381">
        <v>489</v>
      </c>
      <c r="C447" s="299"/>
      <c r="D447" s="299"/>
      <c r="E447" s="299"/>
      <c r="F447" s="211"/>
      <c r="G447" s="211"/>
      <c r="H447" s="294"/>
      <c r="I447" s="294"/>
      <c r="J447" s="208"/>
      <c r="K447" s="208"/>
    </row>
    <row r="448" spans="1:11" x14ac:dyDescent="0.25">
      <c r="A448" s="325">
        <f>IF(Info!$J$3&gt;0,Info!$J$3+B448, )</f>
        <v>0</v>
      </c>
      <c r="B448" s="335">
        <v>490</v>
      </c>
      <c r="C448" s="299"/>
      <c r="D448" s="299"/>
      <c r="E448" s="299"/>
      <c r="F448" s="211"/>
      <c r="G448" s="211"/>
      <c r="H448" s="294"/>
      <c r="I448" s="294"/>
      <c r="J448" s="208"/>
      <c r="K448" s="208"/>
    </row>
    <row r="449" spans="1:11" x14ac:dyDescent="0.25">
      <c r="A449" s="326">
        <f>A448</f>
        <v>0</v>
      </c>
      <c r="B449" s="382" t="str">
        <f>Traducción!$B$24&amp;" 70"</f>
        <v>Sem. 70</v>
      </c>
      <c r="C449" s="307">
        <f t="shared" ref="C449:E449" si="214">SUM(C442:C448)</f>
        <v>0</v>
      </c>
      <c r="D449" s="307">
        <f t="shared" si="214"/>
        <v>0</v>
      </c>
      <c r="E449" s="307">
        <f t="shared" si="214"/>
        <v>0</v>
      </c>
      <c r="F449" s="312">
        <f t="shared" ref="F449:G449" si="215">IFERROR(AVERAGE(F442:F448), )</f>
        <v>0</v>
      </c>
      <c r="G449" s="312">
        <f t="shared" si="215"/>
        <v>0</v>
      </c>
      <c r="H449" s="316">
        <f t="shared" ref="H449:I449" si="216">SUM(H442:H448)</f>
        <v>0</v>
      </c>
      <c r="I449" s="316">
        <f t="shared" si="216"/>
        <v>0</v>
      </c>
      <c r="J449" s="329">
        <f t="shared" ref="J449" si="217">IFERROR(AVERAGE(J442:J448), )</f>
        <v>0</v>
      </c>
      <c r="K449" s="224"/>
    </row>
    <row r="450" spans="1:11" x14ac:dyDescent="0.25">
      <c r="A450" s="325">
        <f>IF(Info!$J$3&gt;0,Info!$J$3+B450, )</f>
        <v>0</v>
      </c>
      <c r="B450" s="381">
        <v>491</v>
      </c>
      <c r="C450" s="308"/>
      <c r="D450" s="308"/>
      <c r="E450" s="308"/>
      <c r="F450" s="313"/>
      <c r="G450" s="313"/>
      <c r="H450" s="317"/>
      <c r="I450" s="317"/>
      <c r="J450" s="225"/>
      <c r="K450" s="208"/>
    </row>
    <row r="451" spans="1:11" x14ac:dyDescent="0.25">
      <c r="A451" s="325">
        <f>IF(Info!$J$3&gt;0,Info!$J$3+B451, )</f>
        <v>0</v>
      </c>
      <c r="B451" s="335">
        <v>492</v>
      </c>
      <c r="C451" s="299"/>
      <c r="D451" s="299"/>
      <c r="E451" s="299"/>
      <c r="F451" s="211"/>
      <c r="G451" s="211"/>
      <c r="H451" s="294"/>
      <c r="I451" s="294"/>
      <c r="J451" s="208"/>
      <c r="K451" s="208"/>
    </row>
    <row r="452" spans="1:11" x14ac:dyDescent="0.25">
      <c r="A452" s="325">
        <f>IF(Info!$J$3&gt;0,Info!$J$3+B452, )</f>
        <v>0</v>
      </c>
      <c r="B452" s="381">
        <v>493</v>
      </c>
      <c r="C452" s="299"/>
      <c r="D452" s="299"/>
      <c r="E452" s="299"/>
      <c r="F452" s="211"/>
      <c r="G452" s="211"/>
      <c r="H452" s="294"/>
      <c r="I452" s="294"/>
      <c r="J452" s="208"/>
      <c r="K452" s="208"/>
    </row>
    <row r="453" spans="1:11" x14ac:dyDescent="0.25">
      <c r="A453" s="325">
        <f>IF(Info!$J$3&gt;0,Info!$J$3+B453, )</f>
        <v>0</v>
      </c>
      <c r="B453" s="335">
        <v>494</v>
      </c>
      <c r="C453" s="299"/>
      <c r="D453" s="299"/>
      <c r="E453" s="299"/>
      <c r="F453" s="211"/>
      <c r="G453" s="211"/>
      <c r="H453" s="294"/>
      <c r="I453" s="294"/>
      <c r="J453" s="208"/>
      <c r="K453" s="208"/>
    </row>
    <row r="454" spans="1:11" x14ac:dyDescent="0.25">
      <c r="A454" s="325">
        <f>IF(Info!$J$3&gt;0,Info!$J$3+B454, )</f>
        <v>0</v>
      </c>
      <c r="B454" s="381">
        <v>495</v>
      </c>
      <c r="C454" s="299"/>
      <c r="D454" s="299"/>
      <c r="E454" s="299"/>
      <c r="F454" s="211"/>
      <c r="G454" s="211"/>
      <c r="H454" s="294"/>
      <c r="I454" s="294"/>
      <c r="J454" s="208"/>
      <c r="K454" s="208"/>
    </row>
    <row r="455" spans="1:11" x14ac:dyDescent="0.25">
      <c r="A455" s="325">
        <f>IF(Info!$J$3&gt;0,Info!$J$3+B455, )</f>
        <v>0</v>
      </c>
      <c r="B455" s="335">
        <v>496</v>
      </c>
      <c r="C455" s="299"/>
      <c r="D455" s="299"/>
      <c r="E455" s="299"/>
      <c r="F455" s="211"/>
      <c r="G455" s="211"/>
      <c r="H455" s="294"/>
      <c r="I455" s="294"/>
      <c r="J455" s="208"/>
      <c r="K455" s="208"/>
    </row>
    <row r="456" spans="1:11" x14ac:dyDescent="0.25">
      <c r="A456" s="325">
        <f>IF(Info!$J$3&gt;0,Info!$J$3+B456, )</f>
        <v>0</v>
      </c>
      <c r="B456" s="381">
        <v>497</v>
      </c>
      <c r="C456" s="299"/>
      <c r="D456" s="299"/>
      <c r="E456" s="299"/>
      <c r="F456" s="211"/>
      <c r="G456" s="211"/>
      <c r="H456" s="294"/>
      <c r="I456" s="294"/>
      <c r="J456" s="208"/>
      <c r="K456" s="208"/>
    </row>
    <row r="457" spans="1:11" x14ac:dyDescent="0.25">
      <c r="A457" s="326">
        <f>A456</f>
        <v>0</v>
      </c>
      <c r="B457" s="382" t="str">
        <f>Traducción!$B$24&amp;" 71"</f>
        <v>Sem. 71</v>
      </c>
      <c r="C457" s="307">
        <f t="shared" ref="C457:E457" si="218">SUM(C450:C456)</f>
        <v>0</v>
      </c>
      <c r="D457" s="307">
        <f t="shared" si="218"/>
        <v>0</v>
      </c>
      <c r="E457" s="307">
        <f t="shared" si="218"/>
        <v>0</v>
      </c>
      <c r="F457" s="312">
        <f t="shared" ref="F457:G457" si="219">IFERROR(AVERAGE(F450:F456), )</f>
        <v>0</v>
      </c>
      <c r="G457" s="312">
        <f t="shared" si="219"/>
        <v>0</v>
      </c>
      <c r="H457" s="316">
        <f t="shared" ref="H457:I457" si="220">SUM(H450:H456)</f>
        <v>0</v>
      </c>
      <c r="I457" s="316">
        <f t="shared" si="220"/>
        <v>0</v>
      </c>
      <c r="J457" s="329">
        <f t="shared" ref="J457" si="221">IFERROR(AVERAGE(J450:J456), )</f>
        <v>0</v>
      </c>
      <c r="K457" s="224"/>
    </row>
    <row r="458" spans="1:11" x14ac:dyDescent="0.25">
      <c r="A458" s="325">
        <f>IF(Info!$J$3&gt;0,Info!$J$3+B458, )</f>
        <v>0</v>
      </c>
      <c r="B458" s="335">
        <v>498</v>
      </c>
      <c r="C458" s="308"/>
      <c r="D458" s="308"/>
      <c r="E458" s="308"/>
      <c r="F458" s="313"/>
      <c r="G458" s="313"/>
      <c r="H458" s="317"/>
      <c r="I458" s="317"/>
      <c r="J458" s="225"/>
      <c r="K458" s="208"/>
    </row>
    <row r="459" spans="1:11" x14ac:dyDescent="0.25">
      <c r="A459" s="325">
        <f>IF(Info!$J$3&gt;0,Info!$J$3+B459, )</f>
        <v>0</v>
      </c>
      <c r="B459" s="381">
        <v>499</v>
      </c>
      <c r="C459" s="299"/>
      <c r="D459" s="299"/>
      <c r="E459" s="299"/>
      <c r="F459" s="211"/>
      <c r="G459" s="211"/>
      <c r="H459" s="294"/>
      <c r="I459" s="294"/>
      <c r="J459" s="208"/>
      <c r="K459" s="208"/>
    </row>
    <row r="460" spans="1:11" x14ac:dyDescent="0.25">
      <c r="A460" s="325">
        <f>IF(Info!$J$3&gt;0,Info!$J$3+B460, )</f>
        <v>0</v>
      </c>
      <c r="B460" s="335">
        <v>500</v>
      </c>
      <c r="C460" s="299"/>
      <c r="D460" s="299"/>
      <c r="E460" s="299"/>
      <c r="F460" s="211"/>
      <c r="G460" s="211"/>
      <c r="H460" s="294"/>
      <c r="I460" s="294"/>
      <c r="J460" s="208"/>
      <c r="K460" s="208"/>
    </row>
    <row r="461" spans="1:11" x14ac:dyDescent="0.25">
      <c r="A461" s="325">
        <f>IF(Info!$J$3&gt;0,Info!$J$3+B461, )</f>
        <v>0</v>
      </c>
      <c r="B461" s="381">
        <v>501</v>
      </c>
      <c r="C461" s="299"/>
      <c r="D461" s="299"/>
      <c r="E461" s="299"/>
      <c r="F461" s="211"/>
      <c r="G461" s="211"/>
      <c r="H461" s="294"/>
      <c r="I461" s="294"/>
      <c r="J461" s="208"/>
      <c r="K461" s="208"/>
    </row>
    <row r="462" spans="1:11" x14ac:dyDescent="0.25">
      <c r="A462" s="325">
        <f>IF(Info!$J$3&gt;0,Info!$J$3+B462, )</f>
        <v>0</v>
      </c>
      <c r="B462" s="335">
        <v>502</v>
      </c>
      <c r="C462" s="299"/>
      <c r="D462" s="299"/>
      <c r="E462" s="299"/>
      <c r="F462" s="211"/>
      <c r="G462" s="211"/>
      <c r="H462" s="294"/>
      <c r="I462" s="294"/>
      <c r="J462" s="208"/>
      <c r="K462" s="208"/>
    </row>
    <row r="463" spans="1:11" x14ac:dyDescent="0.25">
      <c r="A463" s="325">
        <f>IF(Info!$J$3&gt;0,Info!$J$3+B463, )</f>
        <v>0</v>
      </c>
      <c r="B463" s="381">
        <v>503</v>
      </c>
      <c r="C463" s="299"/>
      <c r="D463" s="299"/>
      <c r="E463" s="299"/>
      <c r="F463" s="211"/>
      <c r="G463" s="211"/>
      <c r="H463" s="294"/>
      <c r="I463" s="294"/>
      <c r="J463" s="208"/>
      <c r="K463" s="208"/>
    </row>
    <row r="464" spans="1:11" x14ac:dyDescent="0.25">
      <c r="A464" s="325">
        <f>IF(Info!$J$3&gt;0,Info!$J$3+B464, )</f>
        <v>0</v>
      </c>
      <c r="B464" s="335">
        <v>504</v>
      </c>
      <c r="C464" s="299"/>
      <c r="D464" s="299"/>
      <c r="E464" s="299"/>
      <c r="F464" s="211"/>
      <c r="G464" s="211"/>
      <c r="H464" s="294"/>
      <c r="I464" s="294"/>
      <c r="J464" s="208"/>
      <c r="K464" s="208"/>
    </row>
    <row r="465" spans="1:11" x14ac:dyDescent="0.25">
      <c r="A465" s="326">
        <f>A464</f>
        <v>0</v>
      </c>
      <c r="B465" s="382" t="str">
        <f>Traducción!$B$24&amp;" 72"</f>
        <v>Sem. 72</v>
      </c>
      <c r="C465" s="307">
        <f t="shared" ref="C465:E465" si="222">SUM(C458:C464)</f>
        <v>0</v>
      </c>
      <c r="D465" s="307">
        <f t="shared" si="222"/>
        <v>0</v>
      </c>
      <c r="E465" s="307">
        <f t="shared" si="222"/>
        <v>0</v>
      </c>
      <c r="F465" s="312">
        <f t="shared" ref="F465:G465" si="223">IFERROR(AVERAGE(F458:F464), )</f>
        <v>0</v>
      </c>
      <c r="G465" s="312">
        <f t="shared" si="223"/>
        <v>0</v>
      </c>
      <c r="H465" s="316">
        <f t="shared" ref="H465:I465" si="224">SUM(H458:H464)</f>
        <v>0</v>
      </c>
      <c r="I465" s="316">
        <f t="shared" si="224"/>
        <v>0</v>
      </c>
      <c r="J465" s="329">
        <f t="shared" ref="J465" si="225">IFERROR(AVERAGE(J458:J464), )</f>
        <v>0</v>
      </c>
      <c r="K465" s="224"/>
    </row>
    <row r="466" spans="1:11" x14ac:dyDescent="0.25">
      <c r="A466" s="325">
        <f>IF(Info!$J$3&gt;0,Info!$J$3+B466, )</f>
        <v>0</v>
      </c>
      <c r="B466" s="381">
        <v>505</v>
      </c>
      <c r="C466" s="308"/>
      <c r="D466" s="308"/>
      <c r="E466" s="308"/>
      <c r="F466" s="313"/>
      <c r="G466" s="313"/>
      <c r="H466" s="317"/>
      <c r="I466" s="317"/>
      <c r="J466" s="225"/>
      <c r="K466" s="208"/>
    </row>
    <row r="467" spans="1:11" x14ac:dyDescent="0.25">
      <c r="A467" s="325">
        <f>IF(Info!$J$3&gt;0,Info!$J$3+B467, )</f>
        <v>0</v>
      </c>
      <c r="B467" s="335">
        <v>506</v>
      </c>
      <c r="C467" s="299"/>
      <c r="D467" s="299"/>
      <c r="E467" s="299"/>
      <c r="F467" s="211"/>
      <c r="G467" s="211"/>
      <c r="H467" s="294"/>
      <c r="I467" s="294"/>
      <c r="J467" s="208"/>
      <c r="K467" s="208"/>
    </row>
    <row r="468" spans="1:11" x14ac:dyDescent="0.25">
      <c r="A468" s="325">
        <f>IF(Info!$J$3&gt;0,Info!$J$3+B468, )</f>
        <v>0</v>
      </c>
      <c r="B468" s="381">
        <v>507</v>
      </c>
      <c r="C468" s="299"/>
      <c r="D468" s="299"/>
      <c r="E468" s="299"/>
      <c r="F468" s="211"/>
      <c r="G468" s="211"/>
      <c r="H468" s="294"/>
      <c r="I468" s="294"/>
      <c r="J468" s="208"/>
      <c r="K468" s="208"/>
    </row>
    <row r="469" spans="1:11" x14ac:dyDescent="0.25">
      <c r="A469" s="325">
        <f>IF(Info!$J$3&gt;0,Info!$J$3+B469, )</f>
        <v>0</v>
      </c>
      <c r="B469" s="335">
        <v>508</v>
      </c>
      <c r="C469" s="299"/>
      <c r="D469" s="299"/>
      <c r="E469" s="299"/>
      <c r="F469" s="211"/>
      <c r="G469" s="211"/>
      <c r="H469" s="294"/>
      <c r="I469" s="294"/>
      <c r="J469" s="208"/>
      <c r="K469" s="208"/>
    </row>
    <row r="470" spans="1:11" x14ac:dyDescent="0.25">
      <c r="A470" s="325">
        <f>IF(Info!$J$3&gt;0,Info!$J$3+B470, )</f>
        <v>0</v>
      </c>
      <c r="B470" s="381">
        <v>509</v>
      </c>
      <c r="C470" s="299"/>
      <c r="D470" s="299"/>
      <c r="E470" s="299"/>
      <c r="F470" s="211"/>
      <c r="G470" s="211"/>
      <c r="H470" s="294"/>
      <c r="I470" s="294"/>
      <c r="J470" s="208"/>
      <c r="K470" s="208"/>
    </row>
    <row r="471" spans="1:11" x14ac:dyDescent="0.25">
      <c r="A471" s="325">
        <f>IF(Info!$J$3&gt;0,Info!$J$3+B471, )</f>
        <v>0</v>
      </c>
      <c r="B471" s="335">
        <v>510</v>
      </c>
      <c r="C471" s="299"/>
      <c r="D471" s="299"/>
      <c r="E471" s="299"/>
      <c r="F471" s="211"/>
      <c r="G471" s="211"/>
      <c r="H471" s="294"/>
      <c r="I471" s="294"/>
      <c r="J471" s="208"/>
      <c r="K471" s="208"/>
    </row>
    <row r="472" spans="1:11" x14ac:dyDescent="0.25">
      <c r="A472" s="325">
        <f>IF(Info!$J$3&gt;0,Info!$J$3+B472, )</f>
        <v>0</v>
      </c>
      <c r="B472" s="381">
        <v>511</v>
      </c>
      <c r="C472" s="299"/>
      <c r="D472" s="299"/>
      <c r="E472" s="299"/>
      <c r="F472" s="211"/>
      <c r="G472" s="211"/>
      <c r="H472" s="294"/>
      <c r="I472" s="294"/>
      <c r="J472" s="208"/>
      <c r="K472" s="208"/>
    </row>
    <row r="473" spans="1:11" x14ac:dyDescent="0.25">
      <c r="A473" s="326">
        <f>A472</f>
        <v>0</v>
      </c>
      <c r="B473" s="382" t="str">
        <f>Traducción!$B$24&amp;" 73"</f>
        <v>Sem. 73</v>
      </c>
      <c r="C473" s="307">
        <f t="shared" ref="C473:E473" si="226">SUM(C466:C472)</f>
        <v>0</v>
      </c>
      <c r="D473" s="307">
        <f t="shared" si="226"/>
        <v>0</v>
      </c>
      <c r="E473" s="307">
        <f t="shared" si="226"/>
        <v>0</v>
      </c>
      <c r="F473" s="312">
        <f t="shared" ref="F473:G473" si="227">IFERROR(AVERAGE(F466:F472), )</f>
        <v>0</v>
      </c>
      <c r="G473" s="312">
        <f t="shared" si="227"/>
        <v>0</v>
      </c>
      <c r="H473" s="316">
        <f t="shared" ref="H473:I473" si="228">SUM(H466:H472)</f>
        <v>0</v>
      </c>
      <c r="I473" s="316">
        <f t="shared" si="228"/>
        <v>0</v>
      </c>
      <c r="J473" s="329">
        <f t="shared" ref="J473" si="229">IFERROR(AVERAGE(J466:J472), )</f>
        <v>0</v>
      </c>
      <c r="K473" s="224"/>
    </row>
    <row r="474" spans="1:11" x14ac:dyDescent="0.25">
      <c r="A474" s="325">
        <f>IF(Info!$J$3&gt;0,Info!$J$3+B474, )</f>
        <v>0</v>
      </c>
      <c r="B474" s="335">
        <v>512</v>
      </c>
      <c r="C474" s="308"/>
      <c r="D474" s="308"/>
      <c r="E474" s="308"/>
      <c r="F474" s="313"/>
      <c r="G474" s="313"/>
      <c r="H474" s="317"/>
      <c r="I474" s="317"/>
      <c r="J474" s="225"/>
      <c r="K474" s="208"/>
    </row>
    <row r="475" spans="1:11" x14ac:dyDescent="0.25">
      <c r="A475" s="325">
        <f>IF(Info!$J$3&gt;0,Info!$J$3+B475, )</f>
        <v>0</v>
      </c>
      <c r="B475" s="381">
        <v>513</v>
      </c>
      <c r="C475" s="299"/>
      <c r="D475" s="299"/>
      <c r="E475" s="299"/>
      <c r="F475" s="211"/>
      <c r="G475" s="211"/>
      <c r="H475" s="294"/>
      <c r="I475" s="294"/>
      <c r="J475" s="208"/>
      <c r="K475" s="208"/>
    </row>
    <row r="476" spans="1:11" x14ac:dyDescent="0.25">
      <c r="A476" s="325">
        <f>IF(Info!$J$3&gt;0,Info!$J$3+B476, )</f>
        <v>0</v>
      </c>
      <c r="B476" s="335">
        <v>514</v>
      </c>
      <c r="C476" s="299"/>
      <c r="D476" s="299"/>
      <c r="E476" s="299"/>
      <c r="F476" s="211"/>
      <c r="G476" s="211"/>
      <c r="H476" s="294"/>
      <c r="I476" s="294"/>
      <c r="J476" s="208"/>
      <c r="K476" s="208"/>
    </row>
    <row r="477" spans="1:11" x14ac:dyDescent="0.25">
      <c r="A477" s="325">
        <f>IF(Info!$J$3&gt;0,Info!$J$3+B477, )</f>
        <v>0</v>
      </c>
      <c r="B477" s="381">
        <v>515</v>
      </c>
      <c r="C477" s="299"/>
      <c r="D477" s="299"/>
      <c r="E477" s="299"/>
      <c r="F477" s="211"/>
      <c r="G477" s="211"/>
      <c r="H477" s="294"/>
      <c r="I477" s="294"/>
      <c r="J477" s="208"/>
      <c r="K477" s="208"/>
    </row>
    <row r="478" spans="1:11" x14ac:dyDescent="0.25">
      <c r="A478" s="325">
        <f>IF(Info!$J$3&gt;0,Info!$J$3+B478, )</f>
        <v>0</v>
      </c>
      <c r="B478" s="335">
        <v>516</v>
      </c>
      <c r="C478" s="299"/>
      <c r="D478" s="299"/>
      <c r="E478" s="299"/>
      <c r="F478" s="211"/>
      <c r="G478" s="211"/>
      <c r="H478" s="294"/>
      <c r="I478" s="294"/>
      <c r="J478" s="208"/>
      <c r="K478" s="208"/>
    </row>
    <row r="479" spans="1:11" x14ac:dyDescent="0.25">
      <c r="A479" s="325">
        <f>IF(Info!$J$3&gt;0,Info!$J$3+B479, )</f>
        <v>0</v>
      </c>
      <c r="B479" s="381">
        <v>517</v>
      </c>
      <c r="C479" s="299"/>
      <c r="D479" s="299"/>
      <c r="E479" s="299"/>
      <c r="F479" s="211"/>
      <c r="G479" s="211"/>
      <c r="H479" s="294"/>
      <c r="I479" s="294"/>
      <c r="J479" s="208"/>
      <c r="K479" s="208"/>
    </row>
    <row r="480" spans="1:11" x14ac:dyDescent="0.25">
      <c r="A480" s="325">
        <f>IF(Info!$J$3&gt;0,Info!$J$3+B480, )</f>
        <v>0</v>
      </c>
      <c r="B480" s="335">
        <v>518</v>
      </c>
      <c r="C480" s="299"/>
      <c r="D480" s="299"/>
      <c r="E480" s="299"/>
      <c r="F480" s="211"/>
      <c r="G480" s="211"/>
      <c r="H480" s="294"/>
      <c r="I480" s="294"/>
      <c r="J480" s="208"/>
      <c r="K480" s="208"/>
    </row>
    <row r="481" spans="1:11" x14ac:dyDescent="0.25">
      <c r="A481" s="326">
        <f>A480</f>
        <v>0</v>
      </c>
      <c r="B481" s="382" t="str">
        <f>Traducción!$B$24&amp;" 74"</f>
        <v>Sem. 74</v>
      </c>
      <c r="C481" s="307">
        <f t="shared" ref="C481:E481" si="230">SUM(C474:C480)</f>
        <v>0</v>
      </c>
      <c r="D481" s="307">
        <f t="shared" si="230"/>
        <v>0</v>
      </c>
      <c r="E481" s="307">
        <f t="shared" si="230"/>
        <v>0</v>
      </c>
      <c r="F481" s="312">
        <f t="shared" ref="F481:G481" si="231">IFERROR(AVERAGE(F474:F480), )</f>
        <v>0</v>
      </c>
      <c r="G481" s="312">
        <f t="shared" si="231"/>
        <v>0</v>
      </c>
      <c r="H481" s="316">
        <f t="shared" ref="H481:I481" si="232">SUM(H474:H480)</f>
        <v>0</v>
      </c>
      <c r="I481" s="316">
        <f t="shared" si="232"/>
        <v>0</v>
      </c>
      <c r="J481" s="329">
        <f t="shared" ref="J481" si="233">IFERROR(AVERAGE(J474:J480), )</f>
        <v>0</v>
      </c>
      <c r="K481" s="224"/>
    </row>
    <row r="482" spans="1:11" x14ac:dyDescent="0.25">
      <c r="A482" s="325">
        <f>IF(Info!$J$3&gt;0,Info!$J$3+B482, )</f>
        <v>0</v>
      </c>
      <c r="B482" s="335">
        <v>519</v>
      </c>
      <c r="C482" s="308"/>
      <c r="D482" s="308"/>
      <c r="E482" s="308"/>
      <c r="F482" s="313"/>
      <c r="G482" s="313"/>
      <c r="H482" s="317"/>
      <c r="I482" s="317"/>
      <c r="J482" s="225"/>
      <c r="K482" s="208"/>
    </row>
    <row r="483" spans="1:11" x14ac:dyDescent="0.25">
      <c r="A483" s="325">
        <f>IF(Info!$J$3&gt;0,Info!$J$3+B483, )</f>
        <v>0</v>
      </c>
      <c r="B483" s="381">
        <v>520</v>
      </c>
      <c r="C483" s="299"/>
      <c r="D483" s="299"/>
      <c r="E483" s="299"/>
      <c r="F483" s="211"/>
      <c r="G483" s="211"/>
      <c r="H483" s="294"/>
      <c r="I483" s="294"/>
      <c r="J483" s="208"/>
      <c r="K483" s="208"/>
    </row>
    <row r="484" spans="1:11" x14ac:dyDescent="0.25">
      <c r="A484" s="325">
        <f>IF(Info!$J$3&gt;0,Info!$J$3+B484, )</f>
        <v>0</v>
      </c>
      <c r="B484" s="335">
        <v>521</v>
      </c>
      <c r="C484" s="299"/>
      <c r="D484" s="299"/>
      <c r="E484" s="299"/>
      <c r="F484" s="211"/>
      <c r="G484" s="211"/>
      <c r="H484" s="294"/>
      <c r="I484" s="294"/>
      <c r="J484" s="208"/>
      <c r="K484" s="208"/>
    </row>
    <row r="485" spans="1:11" x14ac:dyDescent="0.25">
      <c r="A485" s="325">
        <f>IF(Info!$J$3&gt;0,Info!$J$3+B485, )</f>
        <v>0</v>
      </c>
      <c r="B485" s="381">
        <v>522</v>
      </c>
      <c r="C485" s="299"/>
      <c r="D485" s="299"/>
      <c r="E485" s="299"/>
      <c r="F485" s="211"/>
      <c r="G485" s="211"/>
      <c r="H485" s="294"/>
      <c r="I485" s="294"/>
      <c r="J485" s="208"/>
      <c r="K485" s="208"/>
    </row>
    <row r="486" spans="1:11" x14ac:dyDescent="0.25">
      <c r="A486" s="325">
        <f>IF(Info!$J$3&gt;0,Info!$J$3+B486, )</f>
        <v>0</v>
      </c>
      <c r="B486" s="335">
        <v>523</v>
      </c>
      <c r="C486" s="299"/>
      <c r="D486" s="299"/>
      <c r="E486" s="299"/>
      <c r="F486" s="211"/>
      <c r="G486" s="211"/>
      <c r="H486" s="294"/>
      <c r="I486" s="294"/>
      <c r="J486" s="208"/>
      <c r="K486" s="208"/>
    </row>
    <row r="487" spans="1:11" x14ac:dyDescent="0.25">
      <c r="A487" s="325">
        <f>IF(Info!$J$3&gt;0,Info!$J$3+B487, )</f>
        <v>0</v>
      </c>
      <c r="B487" s="381">
        <v>524</v>
      </c>
      <c r="C487" s="299"/>
      <c r="D487" s="299"/>
      <c r="E487" s="299"/>
      <c r="F487" s="211"/>
      <c r="G487" s="211"/>
      <c r="H487" s="294"/>
      <c r="I487" s="294"/>
      <c r="J487" s="208"/>
      <c r="K487" s="208"/>
    </row>
    <row r="488" spans="1:11" x14ac:dyDescent="0.25">
      <c r="A488" s="325">
        <f>IF(Info!$J$3&gt;0,Info!$J$3+B488, )</f>
        <v>0</v>
      </c>
      <c r="B488" s="335">
        <v>525</v>
      </c>
      <c r="C488" s="299"/>
      <c r="D488" s="299"/>
      <c r="E488" s="299"/>
      <c r="F488" s="211"/>
      <c r="G488" s="211"/>
      <c r="H488" s="294"/>
      <c r="I488" s="294"/>
      <c r="J488" s="208"/>
      <c r="K488" s="208"/>
    </row>
    <row r="489" spans="1:11" x14ac:dyDescent="0.25">
      <c r="A489" s="326">
        <f>A488</f>
        <v>0</v>
      </c>
      <c r="B489" s="382" t="str">
        <f>Traducción!$B$24&amp;" 75"</f>
        <v>Sem. 75</v>
      </c>
      <c r="C489" s="307">
        <f t="shared" ref="C489:E489" si="234">SUM(C482:C488)</f>
        <v>0</v>
      </c>
      <c r="D489" s="307">
        <f t="shared" si="234"/>
        <v>0</v>
      </c>
      <c r="E489" s="307">
        <f t="shared" si="234"/>
        <v>0</v>
      </c>
      <c r="F489" s="312">
        <f t="shared" ref="F489:G489" si="235">IFERROR(AVERAGE(F482:F488), )</f>
        <v>0</v>
      </c>
      <c r="G489" s="312">
        <f t="shared" si="235"/>
        <v>0</v>
      </c>
      <c r="H489" s="316">
        <f t="shared" ref="H489:I489" si="236">SUM(H482:H488)</f>
        <v>0</v>
      </c>
      <c r="I489" s="316">
        <f t="shared" si="236"/>
        <v>0</v>
      </c>
      <c r="J489" s="329">
        <f t="shared" ref="J489" si="237">IFERROR(AVERAGE(J482:J488), )</f>
        <v>0</v>
      </c>
      <c r="K489" s="224"/>
    </row>
    <row r="490" spans="1:11" x14ac:dyDescent="0.25">
      <c r="A490" s="325">
        <f>IF(Info!$J$3&gt;0,Info!$J$3+B490, )</f>
        <v>0</v>
      </c>
      <c r="B490" s="335">
        <v>526</v>
      </c>
      <c r="C490" s="308"/>
      <c r="D490" s="308"/>
      <c r="E490" s="308"/>
      <c r="F490" s="313"/>
      <c r="G490" s="313"/>
      <c r="H490" s="317"/>
      <c r="I490" s="317"/>
      <c r="J490" s="225"/>
      <c r="K490" s="208"/>
    </row>
    <row r="491" spans="1:11" x14ac:dyDescent="0.25">
      <c r="A491" s="325">
        <f>IF(Info!$J$3&gt;0,Info!$J$3+B491, )</f>
        <v>0</v>
      </c>
      <c r="B491" s="381">
        <v>527</v>
      </c>
      <c r="C491" s="299"/>
      <c r="D491" s="299"/>
      <c r="E491" s="299"/>
      <c r="F491" s="211"/>
      <c r="G491" s="211"/>
      <c r="H491" s="294"/>
      <c r="I491" s="294"/>
      <c r="J491" s="208"/>
      <c r="K491" s="208"/>
    </row>
    <row r="492" spans="1:11" x14ac:dyDescent="0.25">
      <c r="A492" s="325">
        <f>IF(Info!$J$3&gt;0,Info!$J$3+B492, )</f>
        <v>0</v>
      </c>
      <c r="B492" s="335">
        <v>528</v>
      </c>
      <c r="C492" s="299"/>
      <c r="D492" s="299"/>
      <c r="E492" s="299"/>
      <c r="F492" s="211"/>
      <c r="G492" s="211"/>
      <c r="H492" s="294"/>
      <c r="I492" s="294"/>
      <c r="J492" s="208"/>
      <c r="K492" s="208"/>
    </row>
    <row r="493" spans="1:11" x14ac:dyDescent="0.25">
      <c r="A493" s="325">
        <f>IF(Info!$J$3&gt;0,Info!$J$3+B493, )</f>
        <v>0</v>
      </c>
      <c r="B493" s="381">
        <v>529</v>
      </c>
      <c r="C493" s="299"/>
      <c r="D493" s="299"/>
      <c r="E493" s="299"/>
      <c r="F493" s="211"/>
      <c r="G493" s="211"/>
      <c r="H493" s="294"/>
      <c r="I493" s="294"/>
      <c r="J493" s="208"/>
      <c r="K493" s="208"/>
    </row>
    <row r="494" spans="1:11" x14ac:dyDescent="0.25">
      <c r="A494" s="325">
        <f>IF(Info!$J$3&gt;0,Info!$J$3+B494, )</f>
        <v>0</v>
      </c>
      <c r="B494" s="335">
        <v>530</v>
      </c>
      <c r="C494" s="299"/>
      <c r="D494" s="299"/>
      <c r="E494" s="299"/>
      <c r="F494" s="211"/>
      <c r="G494" s="211"/>
      <c r="H494" s="294"/>
      <c r="I494" s="294"/>
      <c r="J494" s="208"/>
      <c r="K494" s="208"/>
    </row>
    <row r="495" spans="1:11" x14ac:dyDescent="0.25">
      <c r="A495" s="325">
        <f>IF(Info!$J$3&gt;0,Info!$J$3+B495, )</f>
        <v>0</v>
      </c>
      <c r="B495" s="381">
        <v>531</v>
      </c>
      <c r="C495" s="299"/>
      <c r="D495" s="299"/>
      <c r="E495" s="299"/>
      <c r="F495" s="211"/>
      <c r="G495" s="211"/>
      <c r="H495" s="294"/>
      <c r="I495" s="294"/>
      <c r="J495" s="208"/>
      <c r="K495" s="208"/>
    </row>
    <row r="496" spans="1:11" x14ac:dyDescent="0.25">
      <c r="A496" s="325">
        <f>IF(Info!$J$3&gt;0,Info!$J$3+B496, )</f>
        <v>0</v>
      </c>
      <c r="B496" s="335">
        <v>532</v>
      </c>
      <c r="C496" s="299"/>
      <c r="D496" s="299"/>
      <c r="E496" s="299"/>
      <c r="F496" s="211"/>
      <c r="G496" s="211"/>
      <c r="H496" s="294"/>
      <c r="I496" s="294"/>
      <c r="J496" s="208"/>
      <c r="K496" s="208"/>
    </row>
    <row r="497" spans="1:11" x14ac:dyDescent="0.25">
      <c r="A497" s="326">
        <f>A496</f>
        <v>0</v>
      </c>
      <c r="B497" s="382" t="str">
        <f>Traducción!$B$24&amp;" 76"</f>
        <v>Sem. 76</v>
      </c>
      <c r="C497" s="307">
        <f t="shared" ref="C497:E497" si="238">SUM(C490:C496)</f>
        <v>0</v>
      </c>
      <c r="D497" s="307">
        <f t="shared" si="238"/>
        <v>0</v>
      </c>
      <c r="E497" s="307">
        <f t="shared" si="238"/>
        <v>0</v>
      </c>
      <c r="F497" s="312">
        <f t="shared" ref="F497:G497" si="239">IFERROR(AVERAGE(F490:F496), )</f>
        <v>0</v>
      </c>
      <c r="G497" s="312">
        <f t="shared" si="239"/>
        <v>0</v>
      </c>
      <c r="H497" s="316">
        <f t="shared" ref="H497:I497" si="240">SUM(H490:H496)</f>
        <v>0</v>
      </c>
      <c r="I497" s="316">
        <f t="shared" si="240"/>
        <v>0</v>
      </c>
      <c r="J497" s="329">
        <f t="shared" ref="J497" si="241">IFERROR(AVERAGE(J490:J496), )</f>
        <v>0</v>
      </c>
      <c r="K497" s="224"/>
    </row>
    <row r="498" spans="1:11" x14ac:dyDescent="0.25">
      <c r="A498" s="325">
        <f>IF(Info!$J$3&gt;0,Info!$J$3+B498, )</f>
        <v>0</v>
      </c>
      <c r="B498" s="335">
        <v>533</v>
      </c>
      <c r="C498" s="308"/>
      <c r="D498" s="308"/>
      <c r="E498" s="308"/>
      <c r="F498" s="313"/>
      <c r="G498" s="313"/>
      <c r="H498" s="317"/>
      <c r="I498" s="317"/>
      <c r="J498" s="225"/>
      <c r="K498" s="208"/>
    </row>
    <row r="499" spans="1:11" x14ac:dyDescent="0.25">
      <c r="A499" s="325">
        <f>IF(Info!$J$3&gt;0,Info!$J$3+B499, )</f>
        <v>0</v>
      </c>
      <c r="B499" s="381">
        <v>534</v>
      </c>
      <c r="C499" s="299"/>
      <c r="D499" s="299"/>
      <c r="E499" s="299"/>
      <c r="F499" s="211"/>
      <c r="G499" s="211"/>
      <c r="H499" s="294"/>
      <c r="I499" s="294"/>
      <c r="J499" s="208"/>
      <c r="K499" s="208"/>
    </row>
    <row r="500" spans="1:11" x14ac:dyDescent="0.25">
      <c r="A500" s="325">
        <f>IF(Info!$J$3&gt;0,Info!$J$3+B500, )</f>
        <v>0</v>
      </c>
      <c r="B500" s="335">
        <v>535</v>
      </c>
      <c r="C500" s="299"/>
      <c r="D500" s="299"/>
      <c r="E500" s="299"/>
      <c r="F500" s="211"/>
      <c r="G500" s="211"/>
      <c r="H500" s="294"/>
      <c r="I500" s="294"/>
      <c r="J500" s="208"/>
      <c r="K500" s="208"/>
    </row>
    <row r="501" spans="1:11" x14ac:dyDescent="0.25">
      <c r="A501" s="325">
        <f>IF(Info!$J$3&gt;0,Info!$J$3+B501, )</f>
        <v>0</v>
      </c>
      <c r="B501" s="381">
        <v>536</v>
      </c>
      <c r="C501" s="299"/>
      <c r="D501" s="299"/>
      <c r="E501" s="299"/>
      <c r="F501" s="211"/>
      <c r="G501" s="211"/>
      <c r="H501" s="294"/>
      <c r="I501" s="294"/>
      <c r="J501" s="208"/>
      <c r="K501" s="208"/>
    </row>
    <row r="502" spans="1:11" x14ac:dyDescent="0.25">
      <c r="A502" s="325">
        <f>IF(Info!$J$3&gt;0,Info!$J$3+B502, )</f>
        <v>0</v>
      </c>
      <c r="B502" s="335">
        <v>537</v>
      </c>
      <c r="C502" s="299"/>
      <c r="D502" s="299"/>
      <c r="E502" s="299"/>
      <c r="F502" s="211"/>
      <c r="G502" s="211"/>
      <c r="H502" s="294"/>
      <c r="I502" s="294"/>
      <c r="J502" s="208"/>
      <c r="K502" s="208"/>
    </row>
    <row r="503" spans="1:11" x14ac:dyDescent="0.25">
      <c r="A503" s="325">
        <f>IF(Info!$J$3&gt;0,Info!$J$3+B503, )</f>
        <v>0</v>
      </c>
      <c r="B503" s="381">
        <v>538</v>
      </c>
      <c r="C503" s="299"/>
      <c r="D503" s="299"/>
      <c r="E503" s="299"/>
      <c r="F503" s="211"/>
      <c r="G503" s="211"/>
      <c r="H503" s="294"/>
      <c r="I503" s="294"/>
      <c r="J503" s="208"/>
      <c r="K503" s="208"/>
    </row>
    <row r="504" spans="1:11" x14ac:dyDescent="0.25">
      <c r="A504" s="325">
        <f>IF(Info!$J$3&gt;0,Info!$J$3+B504, )</f>
        <v>0</v>
      </c>
      <c r="B504" s="335">
        <v>539</v>
      </c>
      <c r="C504" s="299"/>
      <c r="D504" s="299"/>
      <c r="E504" s="299"/>
      <c r="F504" s="211"/>
      <c r="G504" s="211"/>
      <c r="H504" s="294"/>
      <c r="I504" s="294"/>
      <c r="J504" s="208"/>
      <c r="K504" s="208"/>
    </row>
    <row r="505" spans="1:11" x14ac:dyDescent="0.25">
      <c r="A505" s="326">
        <f>A504</f>
        <v>0</v>
      </c>
      <c r="B505" s="382" t="str">
        <f>Traducción!$B$24&amp;" 77"</f>
        <v>Sem. 77</v>
      </c>
      <c r="C505" s="307">
        <f t="shared" ref="C505:E505" si="242">SUM(C498:C504)</f>
        <v>0</v>
      </c>
      <c r="D505" s="307">
        <f t="shared" si="242"/>
        <v>0</v>
      </c>
      <c r="E505" s="307">
        <f t="shared" si="242"/>
        <v>0</v>
      </c>
      <c r="F505" s="312">
        <f t="shared" ref="F505:G505" si="243">IFERROR(AVERAGE(F498:F504), )</f>
        <v>0</v>
      </c>
      <c r="G505" s="312">
        <f t="shared" si="243"/>
        <v>0</v>
      </c>
      <c r="H505" s="316">
        <f t="shared" ref="H505:I505" si="244">SUM(H498:H504)</f>
        <v>0</v>
      </c>
      <c r="I505" s="316">
        <f t="shared" si="244"/>
        <v>0</v>
      </c>
      <c r="J505" s="329">
        <f t="shared" ref="J505" si="245">IFERROR(AVERAGE(J498:J504), )</f>
        <v>0</v>
      </c>
      <c r="K505" s="224"/>
    </row>
    <row r="506" spans="1:11" x14ac:dyDescent="0.25">
      <c r="A506" s="325">
        <f>IF(Info!$J$3&gt;0,Info!$J$3+B506, )</f>
        <v>0</v>
      </c>
      <c r="B506" s="335">
        <v>540</v>
      </c>
      <c r="C506" s="308"/>
      <c r="D506" s="308"/>
      <c r="E506" s="308"/>
      <c r="F506" s="313"/>
      <c r="G506" s="313"/>
      <c r="H506" s="317"/>
      <c r="I506" s="317"/>
      <c r="J506" s="225"/>
      <c r="K506" s="208"/>
    </row>
    <row r="507" spans="1:11" x14ac:dyDescent="0.25">
      <c r="A507" s="325">
        <f>IF(Info!$J$3&gt;0,Info!$J$3+B507, )</f>
        <v>0</v>
      </c>
      <c r="B507" s="381">
        <v>541</v>
      </c>
      <c r="C507" s="299"/>
      <c r="D507" s="299"/>
      <c r="E507" s="299"/>
      <c r="F507" s="211"/>
      <c r="G507" s="211"/>
      <c r="H507" s="294"/>
      <c r="I507" s="294"/>
      <c r="J507" s="208"/>
      <c r="K507" s="208"/>
    </row>
    <row r="508" spans="1:11" x14ac:dyDescent="0.25">
      <c r="A508" s="325">
        <f>IF(Info!$J$3&gt;0,Info!$J$3+B508, )</f>
        <v>0</v>
      </c>
      <c r="B508" s="335">
        <v>542</v>
      </c>
      <c r="C508" s="299"/>
      <c r="D508" s="299"/>
      <c r="E508" s="299"/>
      <c r="F508" s="211"/>
      <c r="G508" s="211"/>
      <c r="H508" s="294"/>
      <c r="I508" s="294"/>
      <c r="J508" s="208"/>
      <c r="K508" s="208"/>
    </row>
    <row r="509" spans="1:11" x14ac:dyDescent="0.25">
      <c r="A509" s="325">
        <f>IF(Info!$J$3&gt;0,Info!$J$3+B509, )</f>
        <v>0</v>
      </c>
      <c r="B509" s="381">
        <v>543</v>
      </c>
      <c r="C509" s="299"/>
      <c r="D509" s="299"/>
      <c r="E509" s="299"/>
      <c r="F509" s="211"/>
      <c r="G509" s="211"/>
      <c r="H509" s="294"/>
      <c r="I509" s="294"/>
      <c r="J509" s="208"/>
      <c r="K509" s="208"/>
    </row>
    <row r="510" spans="1:11" x14ac:dyDescent="0.25">
      <c r="A510" s="325">
        <f>IF(Info!$J$3&gt;0,Info!$J$3+B510, )</f>
        <v>0</v>
      </c>
      <c r="B510" s="335">
        <v>544</v>
      </c>
      <c r="C510" s="299"/>
      <c r="D510" s="299"/>
      <c r="E510" s="299"/>
      <c r="F510" s="211"/>
      <c r="G510" s="211"/>
      <c r="H510" s="294"/>
      <c r="I510" s="294"/>
      <c r="J510" s="208"/>
      <c r="K510" s="208"/>
    </row>
    <row r="511" spans="1:11" x14ac:dyDescent="0.25">
      <c r="A511" s="325">
        <f>IF(Info!$J$3&gt;0,Info!$J$3+B511, )</f>
        <v>0</v>
      </c>
      <c r="B511" s="381">
        <v>545</v>
      </c>
      <c r="C511" s="299"/>
      <c r="D511" s="299"/>
      <c r="E511" s="299"/>
      <c r="F511" s="211"/>
      <c r="G511" s="211"/>
      <c r="H511" s="294"/>
      <c r="I511" s="294"/>
      <c r="J511" s="208"/>
      <c r="K511" s="208"/>
    </row>
    <row r="512" spans="1:11" x14ac:dyDescent="0.25">
      <c r="A512" s="325">
        <f>IF(Info!$J$3&gt;0,Info!$J$3+B512, )</f>
        <v>0</v>
      </c>
      <c r="B512" s="335">
        <v>546</v>
      </c>
      <c r="C512" s="299"/>
      <c r="D512" s="299"/>
      <c r="E512" s="299"/>
      <c r="F512" s="211"/>
      <c r="G512" s="211"/>
      <c r="H512" s="294"/>
      <c r="I512" s="294"/>
      <c r="J512" s="208"/>
      <c r="K512" s="208"/>
    </row>
    <row r="513" spans="1:11" x14ac:dyDescent="0.25">
      <c r="A513" s="326">
        <f>A512</f>
        <v>0</v>
      </c>
      <c r="B513" s="382" t="str">
        <f>Traducción!$B$24&amp;" 78"</f>
        <v>Sem. 78</v>
      </c>
      <c r="C513" s="307">
        <f t="shared" ref="C513:E513" si="246">SUM(C506:C512)</f>
        <v>0</v>
      </c>
      <c r="D513" s="307">
        <f t="shared" si="246"/>
        <v>0</v>
      </c>
      <c r="E513" s="307">
        <f t="shared" si="246"/>
        <v>0</v>
      </c>
      <c r="F513" s="312">
        <f t="shared" ref="F513:G513" si="247">IFERROR(AVERAGE(F506:F512), )</f>
        <v>0</v>
      </c>
      <c r="G513" s="312">
        <f t="shared" si="247"/>
        <v>0</v>
      </c>
      <c r="H513" s="316">
        <f t="shared" ref="H513:I513" si="248">SUM(H506:H512)</f>
        <v>0</v>
      </c>
      <c r="I513" s="316">
        <f t="shared" si="248"/>
        <v>0</v>
      </c>
      <c r="J513" s="329">
        <f t="shared" ref="J513" si="249">IFERROR(AVERAGE(J506:J512), )</f>
        <v>0</v>
      </c>
      <c r="K513" s="224"/>
    </row>
    <row r="514" spans="1:11" x14ac:dyDescent="0.25">
      <c r="A514" s="325">
        <f>IF(Info!$J$3&gt;0,Info!$J$3+B514, )</f>
        <v>0</v>
      </c>
      <c r="B514" s="335">
        <v>547</v>
      </c>
      <c r="C514" s="308"/>
      <c r="D514" s="308"/>
      <c r="E514" s="308"/>
      <c r="F514" s="313"/>
      <c r="G514" s="313"/>
      <c r="H514" s="317"/>
      <c r="I514" s="317"/>
      <c r="J514" s="225"/>
      <c r="K514" s="208"/>
    </row>
    <row r="515" spans="1:11" x14ac:dyDescent="0.25">
      <c r="A515" s="325">
        <f>IF(Info!$J$3&gt;0,Info!$J$3+B515, )</f>
        <v>0</v>
      </c>
      <c r="B515" s="381">
        <v>548</v>
      </c>
      <c r="C515" s="299"/>
      <c r="D515" s="299"/>
      <c r="E515" s="299"/>
      <c r="F515" s="211"/>
      <c r="G515" s="211"/>
      <c r="H515" s="294"/>
      <c r="I515" s="294"/>
      <c r="J515" s="208"/>
      <c r="K515" s="208"/>
    </row>
    <row r="516" spans="1:11" x14ac:dyDescent="0.25">
      <c r="A516" s="325">
        <f>IF(Info!$J$3&gt;0,Info!$J$3+B516, )</f>
        <v>0</v>
      </c>
      <c r="B516" s="335">
        <v>549</v>
      </c>
      <c r="C516" s="299"/>
      <c r="D516" s="299"/>
      <c r="E516" s="299"/>
      <c r="F516" s="211"/>
      <c r="G516" s="211"/>
      <c r="H516" s="294"/>
      <c r="I516" s="294"/>
      <c r="J516" s="208"/>
      <c r="K516" s="208"/>
    </row>
    <row r="517" spans="1:11" x14ac:dyDescent="0.25">
      <c r="A517" s="325">
        <f>IF(Info!$J$3&gt;0,Info!$J$3+B517, )</f>
        <v>0</v>
      </c>
      <c r="B517" s="381">
        <v>550</v>
      </c>
      <c r="C517" s="299"/>
      <c r="D517" s="299"/>
      <c r="E517" s="299"/>
      <c r="F517" s="211"/>
      <c r="G517" s="211"/>
      <c r="H517" s="294"/>
      <c r="I517" s="294"/>
      <c r="J517" s="208"/>
      <c r="K517" s="208"/>
    </row>
    <row r="518" spans="1:11" x14ac:dyDescent="0.25">
      <c r="A518" s="325">
        <f>IF(Info!$J$3&gt;0,Info!$J$3+B518, )</f>
        <v>0</v>
      </c>
      <c r="B518" s="335">
        <v>551</v>
      </c>
      <c r="C518" s="299"/>
      <c r="D518" s="299"/>
      <c r="E518" s="299"/>
      <c r="F518" s="211"/>
      <c r="G518" s="211"/>
      <c r="H518" s="294"/>
      <c r="I518" s="294"/>
      <c r="J518" s="208"/>
      <c r="K518" s="208"/>
    </row>
    <row r="519" spans="1:11" x14ac:dyDescent="0.25">
      <c r="A519" s="325">
        <f>IF(Info!$J$3&gt;0,Info!$J$3+B519, )</f>
        <v>0</v>
      </c>
      <c r="B519" s="381">
        <v>552</v>
      </c>
      <c r="C519" s="299"/>
      <c r="D519" s="299"/>
      <c r="E519" s="299"/>
      <c r="F519" s="211"/>
      <c r="G519" s="211"/>
      <c r="H519" s="294"/>
      <c r="I519" s="294"/>
      <c r="J519" s="208"/>
      <c r="K519" s="208"/>
    </row>
    <row r="520" spans="1:11" x14ac:dyDescent="0.25">
      <c r="A520" s="325">
        <f>IF(Info!$J$3&gt;0,Info!$J$3+B520, )</f>
        <v>0</v>
      </c>
      <c r="B520" s="335">
        <v>553</v>
      </c>
      <c r="C520" s="299"/>
      <c r="D520" s="299"/>
      <c r="E520" s="299"/>
      <c r="F520" s="211"/>
      <c r="G520" s="211"/>
      <c r="H520" s="294"/>
      <c r="I520" s="294"/>
      <c r="J520" s="208"/>
      <c r="K520" s="208"/>
    </row>
    <row r="521" spans="1:11" x14ac:dyDescent="0.25">
      <c r="A521" s="326">
        <f>A520</f>
        <v>0</v>
      </c>
      <c r="B521" s="382" t="str">
        <f>Traducción!$B$24&amp;" 79"</f>
        <v>Sem. 79</v>
      </c>
      <c r="C521" s="307">
        <f t="shared" ref="C521:E521" si="250">SUM(C514:C520)</f>
        <v>0</v>
      </c>
      <c r="D521" s="307">
        <f t="shared" si="250"/>
        <v>0</v>
      </c>
      <c r="E521" s="307">
        <f t="shared" si="250"/>
        <v>0</v>
      </c>
      <c r="F521" s="312">
        <f t="shared" ref="F521:G521" si="251">IFERROR(AVERAGE(F514:F520), )</f>
        <v>0</v>
      </c>
      <c r="G521" s="312">
        <f t="shared" si="251"/>
        <v>0</v>
      </c>
      <c r="H521" s="316">
        <f t="shared" ref="H521:I521" si="252">SUM(H514:H520)</f>
        <v>0</v>
      </c>
      <c r="I521" s="316">
        <f t="shared" si="252"/>
        <v>0</v>
      </c>
      <c r="J521" s="329">
        <f t="shared" ref="J521" si="253">IFERROR(AVERAGE(J514:J520), )</f>
        <v>0</v>
      </c>
      <c r="K521" s="224"/>
    </row>
    <row r="522" spans="1:11" x14ac:dyDescent="0.25">
      <c r="A522" s="325">
        <f>IF(Info!$J$3&gt;0,Info!$J$3+B522, )</f>
        <v>0</v>
      </c>
      <c r="B522" s="335">
        <v>554</v>
      </c>
      <c r="C522" s="308"/>
      <c r="D522" s="308"/>
      <c r="E522" s="308"/>
      <c r="F522" s="313"/>
      <c r="G522" s="313"/>
      <c r="H522" s="317"/>
      <c r="I522" s="317"/>
      <c r="J522" s="225"/>
      <c r="K522" s="208"/>
    </row>
    <row r="523" spans="1:11" x14ac:dyDescent="0.25">
      <c r="A523" s="325">
        <f>IF(Info!$J$3&gt;0,Info!$J$3+B523, )</f>
        <v>0</v>
      </c>
      <c r="B523" s="381">
        <v>555</v>
      </c>
      <c r="C523" s="299"/>
      <c r="D523" s="299"/>
      <c r="E523" s="299"/>
      <c r="F523" s="211"/>
      <c r="G523" s="211"/>
      <c r="H523" s="294"/>
      <c r="I523" s="294"/>
      <c r="J523" s="208"/>
      <c r="K523" s="208"/>
    </row>
    <row r="524" spans="1:11" x14ac:dyDescent="0.25">
      <c r="A524" s="325">
        <f>IF(Info!$J$3&gt;0,Info!$J$3+B524, )</f>
        <v>0</v>
      </c>
      <c r="B524" s="335">
        <v>556</v>
      </c>
      <c r="C524" s="299"/>
      <c r="D524" s="299"/>
      <c r="E524" s="299"/>
      <c r="F524" s="211"/>
      <c r="G524" s="211"/>
      <c r="H524" s="294"/>
      <c r="I524" s="294"/>
      <c r="J524" s="208"/>
      <c r="K524" s="208"/>
    </row>
    <row r="525" spans="1:11" x14ac:dyDescent="0.25">
      <c r="A525" s="325">
        <f>IF(Info!$J$3&gt;0,Info!$J$3+B525, )</f>
        <v>0</v>
      </c>
      <c r="B525" s="381">
        <v>557</v>
      </c>
      <c r="C525" s="299"/>
      <c r="D525" s="299"/>
      <c r="E525" s="299"/>
      <c r="F525" s="211"/>
      <c r="G525" s="211"/>
      <c r="H525" s="294"/>
      <c r="I525" s="294"/>
      <c r="J525" s="208"/>
      <c r="K525" s="208"/>
    </row>
    <row r="526" spans="1:11" x14ac:dyDescent="0.25">
      <c r="A526" s="325">
        <f>IF(Info!$J$3&gt;0,Info!$J$3+B526, )</f>
        <v>0</v>
      </c>
      <c r="B526" s="335">
        <v>558</v>
      </c>
      <c r="C526" s="299"/>
      <c r="D526" s="299"/>
      <c r="E526" s="299"/>
      <c r="F526" s="211"/>
      <c r="G526" s="211"/>
      <c r="H526" s="294"/>
      <c r="I526" s="294"/>
      <c r="J526" s="208"/>
      <c r="K526" s="208"/>
    </row>
    <row r="527" spans="1:11" x14ac:dyDescent="0.25">
      <c r="A527" s="325">
        <f>IF(Info!$J$3&gt;0,Info!$J$3+B527, )</f>
        <v>0</v>
      </c>
      <c r="B527" s="381">
        <v>559</v>
      </c>
      <c r="C527" s="299"/>
      <c r="D527" s="299"/>
      <c r="E527" s="299"/>
      <c r="F527" s="211"/>
      <c r="G527" s="211"/>
      <c r="H527" s="294"/>
      <c r="I527" s="294"/>
      <c r="J527" s="208"/>
      <c r="K527" s="208"/>
    </row>
    <row r="528" spans="1:11" x14ac:dyDescent="0.25">
      <c r="A528" s="325">
        <f>IF(Info!$J$3&gt;0,Info!$J$3+B528, )</f>
        <v>0</v>
      </c>
      <c r="B528" s="335">
        <v>560</v>
      </c>
      <c r="C528" s="299"/>
      <c r="D528" s="299"/>
      <c r="E528" s="299"/>
      <c r="F528" s="211"/>
      <c r="G528" s="211"/>
      <c r="H528" s="294"/>
      <c r="I528" s="294"/>
      <c r="J528" s="208"/>
      <c r="K528" s="208"/>
    </row>
    <row r="529" spans="1:11" x14ac:dyDescent="0.25">
      <c r="A529" s="326">
        <f>A528</f>
        <v>0</v>
      </c>
      <c r="B529" s="382" t="str">
        <f>Traducción!$B$24&amp;" 80"</f>
        <v>Sem. 80</v>
      </c>
      <c r="C529" s="307">
        <f t="shared" ref="C529:E529" si="254">SUM(C522:C528)</f>
        <v>0</v>
      </c>
      <c r="D529" s="307">
        <f t="shared" si="254"/>
        <v>0</v>
      </c>
      <c r="E529" s="307">
        <f t="shared" si="254"/>
        <v>0</v>
      </c>
      <c r="F529" s="312">
        <f t="shared" ref="F529:G529" si="255">IFERROR(AVERAGE(F522:F528), )</f>
        <v>0</v>
      </c>
      <c r="G529" s="312">
        <f t="shared" si="255"/>
        <v>0</v>
      </c>
      <c r="H529" s="316">
        <f t="shared" ref="H529:I529" si="256">SUM(H522:H528)</f>
        <v>0</v>
      </c>
      <c r="I529" s="316">
        <f t="shared" si="256"/>
        <v>0</v>
      </c>
      <c r="J529" s="329">
        <f t="shared" ref="J529" si="257">IFERROR(AVERAGE(J522:J528), )</f>
        <v>0</v>
      </c>
      <c r="K529" s="224"/>
    </row>
    <row r="530" spans="1:11" x14ac:dyDescent="0.25">
      <c r="A530" s="325">
        <f>IF(Info!$J$3&gt;0,Info!$J$3+B530, )</f>
        <v>0</v>
      </c>
      <c r="B530" s="381">
        <v>561</v>
      </c>
      <c r="C530" s="308"/>
      <c r="D530" s="308"/>
      <c r="E530" s="308"/>
      <c r="F530" s="313"/>
      <c r="G530" s="313"/>
      <c r="H530" s="317"/>
      <c r="I530" s="317"/>
      <c r="J530" s="225"/>
      <c r="K530" s="208"/>
    </row>
    <row r="531" spans="1:11" x14ac:dyDescent="0.25">
      <c r="A531" s="325">
        <f>IF(Info!$J$3&gt;0,Info!$J$3+B531, )</f>
        <v>0</v>
      </c>
      <c r="B531" s="335">
        <v>562</v>
      </c>
      <c r="C531" s="299"/>
      <c r="D531" s="299"/>
      <c r="E531" s="299"/>
      <c r="F531" s="211"/>
      <c r="G531" s="211"/>
      <c r="H531" s="294"/>
      <c r="I531" s="294"/>
      <c r="J531" s="208"/>
      <c r="K531" s="208"/>
    </row>
    <row r="532" spans="1:11" x14ac:dyDescent="0.25">
      <c r="A532" s="325">
        <f>IF(Info!$J$3&gt;0,Info!$J$3+B532, )</f>
        <v>0</v>
      </c>
      <c r="B532" s="381">
        <v>563</v>
      </c>
      <c r="C532" s="299"/>
      <c r="D532" s="299"/>
      <c r="E532" s="299"/>
      <c r="F532" s="211"/>
      <c r="G532" s="211"/>
      <c r="H532" s="294"/>
      <c r="I532" s="294"/>
      <c r="J532" s="208"/>
      <c r="K532" s="208"/>
    </row>
    <row r="533" spans="1:11" x14ac:dyDescent="0.25">
      <c r="A533" s="325">
        <f>IF(Info!$J$3&gt;0,Info!$J$3+B533, )</f>
        <v>0</v>
      </c>
      <c r="B533" s="335">
        <v>564</v>
      </c>
      <c r="C533" s="299"/>
      <c r="D533" s="299"/>
      <c r="E533" s="299"/>
      <c r="F533" s="211"/>
      <c r="G533" s="211"/>
      <c r="H533" s="294"/>
      <c r="I533" s="294"/>
      <c r="J533" s="208"/>
      <c r="K533" s="208"/>
    </row>
    <row r="534" spans="1:11" x14ac:dyDescent="0.25">
      <c r="A534" s="325">
        <f>IF(Info!$J$3&gt;0,Info!$J$3+B534, )</f>
        <v>0</v>
      </c>
      <c r="B534" s="381">
        <v>565</v>
      </c>
      <c r="C534" s="299"/>
      <c r="D534" s="299"/>
      <c r="E534" s="299"/>
      <c r="F534" s="211"/>
      <c r="G534" s="211"/>
      <c r="H534" s="294"/>
      <c r="I534" s="294"/>
      <c r="J534" s="208"/>
      <c r="K534" s="208"/>
    </row>
    <row r="535" spans="1:11" x14ac:dyDescent="0.25">
      <c r="A535" s="325">
        <f>IF(Info!$J$3&gt;0,Info!$J$3+B535, )</f>
        <v>0</v>
      </c>
      <c r="B535" s="335">
        <v>566</v>
      </c>
      <c r="C535" s="299"/>
      <c r="D535" s="299"/>
      <c r="E535" s="299"/>
      <c r="F535" s="211"/>
      <c r="G535" s="211"/>
      <c r="H535" s="294"/>
      <c r="I535" s="294"/>
      <c r="J535" s="208"/>
      <c r="K535" s="208"/>
    </row>
    <row r="536" spans="1:11" x14ac:dyDescent="0.25">
      <c r="A536" s="325">
        <f>IF(Info!$J$3&gt;0,Info!$J$3+B536, )</f>
        <v>0</v>
      </c>
      <c r="B536" s="381">
        <v>567</v>
      </c>
      <c r="C536" s="299"/>
      <c r="D536" s="299"/>
      <c r="E536" s="299"/>
      <c r="F536" s="211"/>
      <c r="G536" s="211"/>
      <c r="H536" s="294"/>
      <c r="I536" s="294"/>
      <c r="J536" s="208"/>
      <c r="K536" s="208"/>
    </row>
    <row r="537" spans="1:11" x14ac:dyDescent="0.25">
      <c r="A537" s="326">
        <f>A536</f>
        <v>0</v>
      </c>
      <c r="B537" s="382" t="str">
        <f>Traducción!$B$24&amp;" 81"</f>
        <v>Sem. 81</v>
      </c>
      <c r="C537" s="307">
        <f t="shared" ref="C537:E537" si="258">SUM(C530:C536)</f>
        <v>0</v>
      </c>
      <c r="D537" s="307">
        <f t="shared" si="258"/>
        <v>0</v>
      </c>
      <c r="E537" s="307">
        <f t="shared" si="258"/>
        <v>0</v>
      </c>
      <c r="F537" s="312">
        <f t="shared" ref="F537:G537" si="259">IFERROR(AVERAGE(F530:F536), )</f>
        <v>0</v>
      </c>
      <c r="G537" s="312">
        <f t="shared" si="259"/>
        <v>0</v>
      </c>
      <c r="H537" s="316">
        <f t="shared" ref="H537:I537" si="260">SUM(H530:H536)</f>
        <v>0</v>
      </c>
      <c r="I537" s="316">
        <f t="shared" si="260"/>
        <v>0</v>
      </c>
      <c r="J537" s="329">
        <f t="shared" ref="J537" si="261">IFERROR(AVERAGE(J530:J536), )</f>
        <v>0</v>
      </c>
      <c r="K537" s="224"/>
    </row>
    <row r="538" spans="1:11" x14ac:dyDescent="0.25">
      <c r="A538" s="325">
        <f>IF(Info!$J$3&gt;0,Info!$J$3+B538, )</f>
        <v>0</v>
      </c>
      <c r="B538" s="381">
        <v>568</v>
      </c>
      <c r="C538" s="308"/>
      <c r="D538" s="308"/>
      <c r="E538" s="308"/>
      <c r="F538" s="313"/>
      <c r="G538" s="313"/>
      <c r="H538" s="317"/>
      <c r="I538" s="317"/>
      <c r="J538" s="225"/>
      <c r="K538" s="208"/>
    </row>
    <row r="539" spans="1:11" x14ac:dyDescent="0.25">
      <c r="A539" s="325">
        <f>IF(Info!$J$3&gt;0,Info!$J$3+B539, )</f>
        <v>0</v>
      </c>
      <c r="B539" s="335">
        <v>569</v>
      </c>
      <c r="C539" s="299"/>
      <c r="D539" s="299"/>
      <c r="E539" s="299"/>
      <c r="F539" s="211"/>
      <c r="G539" s="211"/>
      <c r="H539" s="294"/>
      <c r="I539" s="294"/>
      <c r="J539" s="208"/>
      <c r="K539" s="208"/>
    </row>
    <row r="540" spans="1:11" x14ac:dyDescent="0.25">
      <c r="A540" s="325">
        <f>IF(Info!$J$3&gt;0,Info!$J$3+B540, )</f>
        <v>0</v>
      </c>
      <c r="B540" s="381">
        <v>570</v>
      </c>
      <c r="C540" s="299"/>
      <c r="D540" s="299"/>
      <c r="E540" s="299"/>
      <c r="F540" s="211"/>
      <c r="G540" s="211"/>
      <c r="H540" s="294"/>
      <c r="I540" s="294"/>
      <c r="J540" s="208"/>
      <c r="K540" s="208"/>
    </row>
    <row r="541" spans="1:11" x14ac:dyDescent="0.25">
      <c r="A541" s="325">
        <f>IF(Info!$J$3&gt;0,Info!$J$3+B541, )</f>
        <v>0</v>
      </c>
      <c r="B541" s="335">
        <v>571</v>
      </c>
      <c r="C541" s="299"/>
      <c r="D541" s="299"/>
      <c r="E541" s="299"/>
      <c r="F541" s="211"/>
      <c r="G541" s="211"/>
      <c r="H541" s="294"/>
      <c r="I541" s="294"/>
      <c r="J541" s="208"/>
      <c r="K541" s="208"/>
    </row>
    <row r="542" spans="1:11" x14ac:dyDescent="0.25">
      <c r="A542" s="325">
        <f>IF(Info!$J$3&gt;0,Info!$J$3+B542, )</f>
        <v>0</v>
      </c>
      <c r="B542" s="381">
        <v>572</v>
      </c>
      <c r="C542" s="299"/>
      <c r="D542" s="299"/>
      <c r="E542" s="299"/>
      <c r="F542" s="211"/>
      <c r="G542" s="211"/>
      <c r="H542" s="294"/>
      <c r="I542" s="294"/>
      <c r="J542" s="208"/>
      <c r="K542" s="208"/>
    </row>
    <row r="543" spans="1:11" x14ac:dyDescent="0.25">
      <c r="A543" s="325">
        <f>IF(Info!$J$3&gt;0,Info!$J$3+B543, )</f>
        <v>0</v>
      </c>
      <c r="B543" s="335">
        <v>573</v>
      </c>
      <c r="C543" s="299"/>
      <c r="D543" s="299"/>
      <c r="E543" s="299"/>
      <c r="F543" s="211"/>
      <c r="G543" s="211"/>
      <c r="H543" s="294"/>
      <c r="I543" s="294"/>
      <c r="J543" s="208"/>
      <c r="K543" s="208"/>
    </row>
    <row r="544" spans="1:11" x14ac:dyDescent="0.25">
      <c r="A544" s="325">
        <f>IF(Info!$J$3&gt;0,Info!$J$3+B544, )</f>
        <v>0</v>
      </c>
      <c r="B544" s="381">
        <v>574</v>
      </c>
      <c r="C544" s="299"/>
      <c r="D544" s="299"/>
      <c r="E544" s="299"/>
      <c r="F544" s="211"/>
      <c r="G544" s="211"/>
      <c r="H544" s="294"/>
      <c r="I544" s="294"/>
      <c r="J544" s="208"/>
      <c r="K544" s="208"/>
    </row>
    <row r="545" spans="1:11" x14ac:dyDescent="0.25">
      <c r="A545" s="326">
        <f>A544</f>
        <v>0</v>
      </c>
      <c r="B545" s="382" t="str">
        <f>Traducción!$B$24&amp;" 82"</f>
        <v>Sem. 82</v>
      </c>
      <c r="C545" s="307">
        <f t="shared" ref="C545:E545" si="262">SUM(C538:C544)</f>
        <v>0</v>
      </c>
      <c r="D545" s="307">
        <f t="shared" si="262"/>
        <v>0</v>
      </c>
      <c r="E545" s="307">
        <f t="shared" si="262"/>
        <v>0</v>
      </c>
      <c r="F545" s="312">
        <f t="shared" ref="F545:G545" si="263">IFERROR(AVERAGE(F538:F544), )</f>
        <v>0</v>
      </c>
      <c r="G545" s="312">
        <f t="shared" si="263"/>
        <v>0</v>
      </c>
      <c r="H545" s="316">
        <f t="shared" ref="H545:I545" si="264">SUM(H538:H544)</f>
        <v>0</v>
      </c>
      <c r="I545" s="316">
        <f t="shared" si="264"/>
        <v>0</v>
      </c>
      <c r="J545" s="329">
        <f t="shared" ref="J545" si="265">IFERROR(AVERAGE(J538:J544), )</f>
        <v>0</v>
      </c>
      <c r="K545" s="224"/>
    </row>
    <row r="546" spans="1:11" x14ac:dyDescent="0.25">
      <c r="A546" s="325">
        <f>IF(Info!$J$3&gt;0,Info!$J$3+B546, )</f>
        <v>0</v>
      </c>
      <c r="B546" s="381">
        <v>575</v>
      </c>
      <c r="C546" s="308"/>
      <c r="D546" s="308"/>
      <c r="E546" s="308"/>
      <c r="F546" s="313"/>
      <c r="G546" s="313"/>
      <c r="H546" s="317"/>
      <c r="I546" s="317"/>
      <c r="J546" s="225"/>
      <c r="K546" s="208"/>
    </row>
    <row r="547" spans="1:11" x14ac:dyDescent="0.25">
      <c r="A547" s="325">
        <f>IF(Info!$J$3&gt;0,Info!$J$3+B547, )</f>
        <v>0</v>
      </c>
      <c r="B547" s="335">
        <v>576</v>
      </c>
      <c r="C547" s="299"/>
      <c r="D547" s="299"/>
      <c r="E547" s="299"/>
      <c r="F547" s="211"/>
      <c r="G547" s="211"/>
      <c r="H547" s="294"/>
      <c r="I547" s="294"/>
      <c r="J547" s="208"/>
      <c r="K547" s="208"/>
    </row>
    <row r="548" spans="1:11" x14ac:dyDescent="0.25">
      <c r="A548" s="325">
        <f>IF(Info!$J$3&gt;0,Info!$J$3+B548, )</f>
        <v>0</v>
      </c>
      <c r="B548" s="381">
        <v>577</v>
      </c>
      <c r="C548" s="299"/>
      <c r="D548" s="299"/>
      <c r="E548" s="299"/>
      <c r="F548" s="211"/>
      <c r="G548" s="211"/>
      <c r="H548" s="294"/>
      <c r="I548" s="294"/>
      <c r="J548" s="208"/>
      <c r="K548" s="208"/>
    </row>
    <row r="549" spans="1:11" x14ac:dyDescent="0.25">
      <c r="A549" s="325">
        <f>IF(Info!$J$3&gt;0,Info!$J$3+B549, )</f>
        <v>0</v>
      </c>
      <c r="B549" s="335">
        <v>578</v>
      </c>
      <c r="C549" s="299"/>
      <c r="D549" s="299"/>
      <c r="E549" s="299"/>
      <c r="F549" s="211"/>
      <c r="G549" s="211"/>
      <c r="H549" s="294"/>
      <c r="I549" s="294"/>
      <c r="J549" s="208"/>
      <c r="K549" s="208"/>
    </row>
    <row r="550" spans="1:11" x14ac:dyDescent="0.25">
      <c r="A550" s="325">
        <f>IF(Info!$J$3&gt;0,Info!$J$3+B550, )</f>
        <v>0</v>
      </c>
      <c r="B550" s="381">
        <v>579</v>
      </c>
      <c r="C550" s="299"/>
      <c r="D550" s="299"/>
      <c r="E550" s="299"/>
      <c r="F550" s="211"/>
      <c r="G550" s="211"/>
      <c r="H550" s="294"/>
      <c r="I550" s="294"/>
      <c r="J550" s="208"/>
      <c r="K550" s="208"/>
    </row>
    <row r="551" spans="1:11" x14ac:dyDescent="0.25">
      <c r="A551" s="325">
        <f>IF(Info!$J$3&gt;0,Info!$J$3+B551, )</f>
        <v>0</v>
      </c>
      <c r="B551" s="335">
        <v>580</v>
      </c>
      <c r="C551" s="299"/>
      <c r="D551" s="299"/>
      <c r="E551" s="299"/>
      <c r="F551" s="211"/>
      <c r="G551" s="211"/>
      <c r="H551" s="294"/>
      <c r="I551" s="294"/>
      <c r="J551" s="208"/>
      <c r="K551" s="208"/>
    </row>
    <row r="552" spans="1:11" x14ac:dyDescent="0.25">
      <c r="A552" s="325">
        <f>IF(Info!$J$3&gt;0,Info!$J$3+B552, )</f>
        <v>0</v>
      </c>
      <c r="B552" s="381">
        <v>581</v>
      </c>
      <c r="C552" s="299"/>
      <c r="D552" s="299"/>
      <c r="E552" s="299"/>
      <c r="F552" s="211"/>
      <c r="G552" s="211"/>
      <c r="H552" s="294"/>
      <c r="I552" s="294"/>
      <c r="J552" s="208"/>
      <c r="K552" s="208"/>
    </row>
    <row r="553" spans="1:11" x14ac:dyDescent="0.25">
      <c r="A553" s="326">
        <f>A552</f>
        <v>0</v>
      </c>
      <c r="B553" s="382" t="str">
        <f>Traducción!$B$24&amp;" 83"</f>
        <v>Sem. 83</v>
      </c>
      <c r="C553" s="307">
        <f t="shared" ref="C553:E553" si="266">SUM(C546:C552)</f>
        <v>0</v>
      </c>
      <c r="D553" s="307">
        <f t="shared" si="266"/>
        <v>0</v>
      </c>
      <c r="E553" s="307">
        <f t="shared" si="266"/>
        <v>0</v>
      </c>
      <c r="F553" s="312">
        <f t="shared" ref="F553:G553" si="267">IFERROR(AVERAGE(F546:F552), )</f>
        <v>0</v>
      </c>
      <c r="G553" s="312">
        <f t="shared" si="267"/>
        <v>0</v>
      </c>
      <c r="H553" s="316">
        <f t="shared" ref="H553:I553" si="268">SUM(H546:H552)</f>
        <v>0</v>
      </c>
      <c r="I553" s="316">
        <f t="shared" si="268"/>
        <v>0</v>
      </c>
      <c r="J553" s="329">
        <f t="shared" ref="J553" si="269">IFERROR(AVERAGE(J546:J552), )</f>
        <v>0</v>
      </c>
      <c r="K553" s="224"/>
    </row>
    <row r="554" spans="1:11" x14ac:dyDescent="0.25">
      <c r="A554" s="325">
        <f>IF(Info!$J$3&gt;0,Info!$J$3+B554, )</f>
        <v>0</v>
      </c>
      <c r="B554" s="381">
        <v>582</v>
      </c>
      <c r="C554" s="308"/>
      <c r="D554" s="308"/>
      <c r="E554" s="308"/>
      <c r="F554" s="313"/>
      <c r="G554" s="313"/>
      <c r="H554" s="317"/>
      <c r="I554" s="317"/>
      <c r="J554" s="225"/>
      <c r="K554" s="208"/>
    </row>
    <row r="555" spans="1:11" x14ac:dyDescent="0.25">
      <c r="A555" s="325">
        <f>IF(Info!$J$3&gt;0,Info!$J$3+B555, )</f>
        <v>0</v>
      </c>
      <c r="B555" s="335">
        <v>583</v>
      </c>
      <c r="C555" s="299"/>
      <c r="D555" s="299"/>
      <c r="E555" s="299"/>
      <c r="F555" s="211"/>
      <c r="G555" s="211"/>
      <c r="H555" s="294"/>
      <c r="I555" s="294"/>
      <c r="J555" s="208"/>
      <c r="K555" s="208"/>
    </row>
    <row r="556" spans="1:11" x14ac:dyDescent="0.25">
      <c r="A556" s="325">
        <f>IF(Info!$J$3&gt;0,Info!$J$3+B556, )</f>
        <v>0</v>
      </c>
      <c r="B556" s="381">
        <v>584</v>
      </c>
      <c r="C556" s="299"/>
      <c r="D556" s="299"/>
      <c r="E556" s="299"/>
      <c r="F556" s="211"/>
      <c r="G556" s="211"/>
      <c r="H556" s="294"/>
      <c r="I556" s="294"/>
      <c r="J556" s="208"/>
      <c r="K556" s="208"/>
    </row>
    <row r="557" spans="1:11" x14ac:dyDescent="0.25">
      <c r="A557" s="325">
        <f>IF(Info!$J$3&gt;0,Info!$J$3+B557, )</f>
        <v>0</v>
      </c>
      <c r="B557" s="335">
        <v>585</v>
      </c>
      <c r="C557" s="299"/>
      <c r="D557" s="299"/>
      <c r="E557" s="299"/>
      <c r="F557" s="211"/>
      <c r="G557" s="211"/>
      <c r="H557" s="294"/>
      <c r="I557" s="294"/>
      <c r="J557" s="208"/>
      <c r="K557" s="208"/>
    </row>
    <row r="558" spans="1:11" x14ac:dyDescent="0.25">
      <c r="A558" s="325">
        <f>IF(Info!$J$3&gt;0,Info!$J$3+B558, )</f>
        <v>0</v>
      </c>
      <c r="B558" s="381">
        <v>586</v>
      </c>
      <c r="C558" s="299"/>
      <c r="D558" s="299"/>
      <c r="E558" s="299"/>
      <c r="F558" s="211"/>
      <c r="G558" s="211"/>
      <c r="H558" s="294"/>
      <c r="I558" s="294"/>
      <c r="J558" s="208"/>
      <c r="K558" s="208"/>
    </row>
    <row r="559" spans="1:11" x14ac:dyDescent="0.25">
      <c r="A559" s="325">
        <f>IF(Info!$J$3&gt;0,Info!$J$3+B559, )</f>
        <v>0</v>
      </c>
      <c r="B559" s="335">
        <v>587</v>
      </c>
      <c r="C559" s="299"/>
      <c r="D559" s="299"/>
      <c r="E559" s="299"/>
      <c r="F559" s="211"/>
      <c r="G559" s="211"/>
      <c r="H559" s="294"/>
      <c r="I559" s="294"/>
      <c r="J559" s="208"/>
      <c r="K559" s="208"/>
    </row>
    <row r="560" spans="1:11" x14ac:dyDescent="0.25">
      <c r="A560" s="325">
        <f>IF(Info!$J$3&gt;0,Info!$J$3+B560, )</f>
        <v>0</v>
      </c>
      <c r="B560" s="381">
        <v>588</v>
      </c>
      <c r="C560" s="299"/>
      <c r="D560" s="299"/>
      <c r="E560" s="299"/>
      <c r="F560" s="211"/>
      <c r="G560" s="211"/>
      <c r="H560" s="294"/>
      <c r="I560" s="294"/>
      <c r="J560" s="208"/>
      <c r="K560" s="208"/>
    </row>
    <row r="561" spans="1:11" x14ac:dyDescent="0.25">
      <c r="A561" s="326">
        <f>A560</f>
        <v>0</v>
      </c>
      <c r="B561" s="382" t="str">
        <f>Traducción!$B$24&amp;" 84"</f>
        <v>Sem. 84</v>
      </c>
      <c r="C561" s="307">
        <f t="shared" ref="C561:E561" si="270">SUM(C554:C560)</f>
        <v>0</v>
      </c>
      <c r="D561" s="307">
        <f t="shared" si="270"/>
        <v>0</v>
      </c>
      <c r="E561" s="307">
        <f t="shared" si="270"/>
        <v>0</v>
      </c>
      <c r="F561" s="312">
        <f t="shared" ref="F561:G561" si="271">IFERROR(AVERAGE(F554:F560), )</f>
        <v>0</v>
      </c>
      <c r="G561" s="312">
        <f t="shared" si="271"/>
        <v>0</v>
      </c>
      <c r="H561" s="316">
        <f t="shared" ref="H561:I561" si="272">SUM(H554:H560)</f>
        <v>0</v>
      </c>
      <c r="I561" s="316">
        <f t="shared" si="272"/>
        <v>0</v>
      </c>
      <c r="J561" s="329">
        <f t="shared" ref="J561" si="273">IFERROR(AVERAGE(J554:J560), )</f>
        <v>0</v>
      </c>
      <c r="K561" s="224"/>
    </row>
    <row r="562" spans="1:11" x14ac:dyDescent="0.25">
      <c r="A562" s="325">
        <f>IF(Info!$J$3&gt;0,Info!$J$3+B562, )</f>
        <v>0</v>
      </c>
      <c r="B562" s="381">
        <v>589</v>
      </c>
      <c r="C562" s="308"/>
      <c r="D562" s="308"/>
      <c r="E562" s="308"/>
      <c r="F562" s="313"/>
      <c r="G562" s="313"/>
      <c r="H562" s="317"/>
      <c r="I562" s="317"/>
      <c r="J562" s="225"/>
      <c r="K562" s="208"/>
    </row>
    <row r="563" spans="1:11" x14ac:dyDescent="0.25">
      <c r="A563" s="325">
        <f>IF(Info!$J$3&gt;0,Info!$J$3+B563, )</f>
        <v>0</v>
      </c>
      <c r="B563" s="335">
        <v>590</v>
      </c>
      <c r="C563" s="299"/>
      <c r="D563" s="299"/>
      <c r="E563" s="299"/>
      <c r="F563" s="211"/>
      <c r="G563" s="211"/>
      <c r="H563" s="294"/>
      <c r="I563" s="294"/>
      <c r="J563" s="208"/>
      <c r="K563" s="208"/>
    </row>
    <row r="564" spans="1:11" x14ac:dyDescent="0.25">
      <c r="A564" s="325">
        <f>IF(Info!$J$3&gt;0,Info!$J$3+B564, )</f>
        <v>0</v>
      </c>
      <c r="B564" s="381">
        <v>591</v>
      </c>
      <c r="C564" s="299"/>
      <c r="D564" s="299"/>
      <c r="E564" s="299"/>
      <c r="F564" s="211"/>
      <c r="G564" s="211"/>
      <c r="H564" s="294"/>
      <c r="I564" s="294"/>
      <c r="J564" s="208"/>
      <c r="K564" s="208"/>
    </row>
    <row r="565" spans="1:11" x14ac:dyDescent="0.25">
      <c r="A565" s="325">
        <f>IF(Info!$J$3&gt;0,Info!$J$3+B565, )</f>
        <v>0</v>
      </c>
      <c r="B565" s="335">
        <v>592</v>
      </c>
      <c r="C565" s="299"/>
      <c r="D565" s="299"/>
      <c r="E565" s="299"/>
      <c r="F565" s="211"/>
      <c r="G565" s="211"/>
      <c r="H565" s="294"/>
      <c r="I565" s="294"/>
      <c r="J565" s="208"/>
      <c r="K565" s="208"/>
    </row>
    <row r="566" spans="1:11" x14ac:dyDescent="0.25">
      <c r="A566" s="325">
        <f>IF(Info!$J$3&gt;0,Info!$J$3+B566, )</f>
        <v>0</v>
      </c>
      <c r="B566" s="381">
        <v>593</v>
      </c>
      <c r="C566" s="299"/>
      <c r="D566" s="299"/>
      <c r="E566" s="299"/>
      <c r="F566" s="211"/>
      <c r="G566" s="211"/>
      <c r="H566" s="294"/>
      <c r="I566" s="294"/>
      <c r="J566" s="208"/>
      <c r="K566" s="208"/>
    </row>
    <row r="567" spans="1:11" x14ac:dyDescent="0.25">
      <c r="A567" s="325">
        <f>IF(Info!$J$3&gt;0,Info!$J$3+B567, )</f>
        <v>0</v>
      </c>
      <c r="B567" s="335">
        <v>594</v>
      </c>
      <c r="C567" s="299"/>
      <c r="D567" s="299"/>
      <c r="E567" s="299"/>
      <c r="F567" s="211"/>
      <c r="G567" s="211"/>
      <c r="H567" s="294"/>
      <c r="I567" s="294"/>
      <c r="J567" s="208"/>
      <c r="K567" s="208"/>
    </row>
    <row r="568" spans="1:11" x14ac:dyDescent="0.25">
      <c r="A568" s="325">
        <f>IF(Info!$J$3&gt;0,Info!$J$3+B568, )</f>
        <v>0</v>
      </c>
      <c r="B568" s="381">
        <v>595</v>
      </c>
      <c r="C568" s="299"/>
      <c r="D568" s="299"/>
      <c r="E568" s="299"/>
      <c r="F568" s="211"/>
      <c r="G568" s="211"/>
      <c r="H568" s="294"/>
      <c r="I568" s="294"/>
      <c r="J568" s="208"/>
      <c r="K568" s="208"/>
    </row>
    <row r="569" spans="1:11" x14ac:dyDescent="0.25">
      <c r="A569" s="326">
        <f>A568</f>
        <v>0</v>
      </c>
      <c r="B569" s="382" t="str">
        <f>Traducción!$B$24&amp;" 85"</f>
        <v>Sem. 85</v>
      </c>
      <c r="C569" s="307">
        <f t="shared" ref="C569:E569" si="274">SUM(C562:C568)</f>
        <v>0</v>
      </c>
      <c r="D569" s="307">
        <f t="shared" si="274"/>
        <v>0</v>
      </c>
      <c r="E569" s="307">
        <f t="shared" si="274"/>
        <v>0</v>
      </c>
      <c r="F569" s="312">
        <f t="shared" ref="F569:G569" si="275">IFERROR(AVERAGE(F562:F568), )</f>
        <v>0</v>
      </c>
      <c r="G569" s="312">
        <f t="shared" si="275"/>
        <v>0</v>
      </c>
      <c r="H569" s="316">
        <f t="shared" ref="H569:I569" si="276">SUM(H562:H568)</f>
        <v>0</v>
      </c>
      <c r="I569" s="316">
        <f t="shared" si="276"/>
        <v>0</v>
      </c>
      <c r="J569" s="329">
        <f t="shared" ref="J569" si="277">IFERROR(AVERAGE(J562:J568), )</f>
        <v>0</v>
      </c>
      <c r="K569" s="224"/>
    </row>
    <row r="570" spans="1:11" x14ac:dyDescent="0.25">
      <c r="A570" s="325">
        <f>IF(Info!$J$3&gt;0,Info!$J$3+B570, )</f>
        <v>0</v>
      </c>
      <c r="B570" s="381">
        <v>596</v>
      </c>
      <c r="C570" s="308"/>
      <c r="D570" s="308"/>
      <c r="E570" s="308"/>
      <c r="F570" s="313"/>
      <c r="G570" s="313"/>
      <c r="H570" s="317"/>
      <c r="I570" s="317"/>
      <c r="J570" s="225"/>
      <c r="K570" s="208"/>
    </row>
    <row r="571" spans="1:11" x14ac:dyDescent="0.25">
      <c r="A571" s="325">
        <f>IF(Info!$J$3&gt;0,Info!$J$3+B571, )</f>
        <v>0</v>
      </c>
      <c r="B571" s="335">
        <v>597</v>
      </c>
      <c r="C571" s="299"/>
      <c r="D571" s="299"/>
      <c r="E571" s="299"/>
      <c r="F571" s="211"/>
      <c r="G571" s="211"/>
      <c r="H571" s="294"/>
      <c r="I571" s="294"/>
      <c r="J571" s="208"/>
      <c r="K571" s="208"/>
    </row>
    <row r="572" spans="1:11" x14ac:dyDescent="0.25">
      <c r="A572" s="325">
        <f>IF(Info!$J$3&gt;0,Info!$J$3+B572, )</f>
        <v>0</v>
      </c>
      <c r="B572" s="381">
        <v>598</v>
      </c>
      <c r="C572" s="299"/>
      <c r="D572" s="299"/>
      <c r="E572" s="299"/>
      <c r="F572" s="211"/>
      <c r="G572" s="211"/>
      <c r="H572" s="294"/>
      <c r="I572" s="294"/>
      <c r="J572" s="208"/>
      <c r="K572" s="208"/>
    </row>
    <row r="573" spans="1:11" x14ac:dyDescent="0.25">
      <c r="A573" s="325">
        <f>IF(Info!$J$3&gt;0,Info!$J$3+B573, )</f>
        <v>0</v>
      </c>
      <c r="B573" s="335">
        <v>599</v>
      </c>
      <c r="C573" s="299"/>
      <c r="D573" s="299"/>
      <c r="E573" s="299"/>
      <c r="F573" s="211"/>
      <c r="G573" s="211"/>
      <c r="H573" s="294"/>
      <c r="I573" s="294"/>
      <c r="J573" s="208"/>
      <c r="K573" s="208"/>
    </row>
    <row r="574" spans="1:11" x14ac:dyDescent="0.25">
      <c r="A574" s="325">
        <f>IF(Info!$J$3&gt;0,Info!$J$3+B574, )</f>
        <v>0</v>
      </c>
      <c r="B574" s="381">
        <v>600</v>
      </c>
      <c r="C574" s="299"/>
      <c r="D574" s="299"/>
      <c r="E574" s="299"/>
      <c r="F574" s="211"/>
      <c r="G574" s="211"/>
      <c r="H574" s="294"/>
      <c r="I574" s="294"/>
      <c r="J574" s="208"/>
      <c r="K574" s="208"/>
    </row>
    <row r="575" spans="1:11" x14ac:dyDescent="0.25">
      <c r="A575" s="325">
        <f>IF(Info!$J$3&gt;0,Info!$J$3+B575, )</f>
        <v>0</v>
      </c>
      <c r="B575" s="335">
        <v>601</v>
      </c>
      <c r="C575" s="299"/>
      <c r="D575" s="299"/>
      <c r="E575" s="299"/>
      <c r="F575" s="211"/>
      <c r="G575" s="211"/>
      <c r="H575" s="294"/>
      <c r="I575" s="294"/>
      <c r="J575" s="208"/>
      <c r="K575" s="208"/>
    </row>
    <row r="576" spans="1:11" x14ac:dyDescent="0.25">
      <c r="A576" s="325">
        <f>IF(Info!$J$3&gt;0,Info!$J$3+B576, )</f>
        <v>0</v>
      </c>
      <c r="B576" s="381">
        <v>602</v>
      </c>
      <c r="C576" s="299"/>
      <c r="D576" s="299"/>
      <c r="E576" s="299"/>
      <c r="F576" s="211"/>
      <c r="G576" s="211"/>
      <c r="H576" s="294"/>
      <c r="I576" s="294"/>
      <c r="J576" s="208"/>
      <c r="K576" s="208"/>
    </row>
    <row r="577" spans="1:11" x14ac:dyDescent="0.25">
      <c r="A577" s="326">
        <f>A576</f>
        <v>0</v>
      </c>
      <c r="B577" s="382" t="str">
        <f>Traducción!$B$24&amp;" 86"</f>
        <v>Sem. 86</v>
      </c>
      <c r="C577" s="307">
        <f t="shared" ref="C577:E577" si="278">SUM(C570:C576)</f>
        <v>0</v>
      </c>
      <c r="D577" s="307">
        <f t="shared" si="278"/>
        <v>0</v>
      </c>
      <c r="E577" s="307">
        <f t="shared" si="278"/>
        <v>0</v>
      </c>
      <c r="F577" s="312">
        <f t="shared" ref="F577:G577" si="279">IFERROR(AVERAGE(F570:F576), )</f>
        <v>0</v>
      </c>
      <c r="G577" s="312">
        <f t="shared" si="279"/>
        <v>0</v>
      </c>
      <c r="H577" s="316">
        <f t="shared" ref="H577:I577" si="280">SUM(H570:H576)</f>
        <v>0</v>
      </c>
      <c r="I577" s="316">
        <f t="shared" si="280"/>
        <v>0</v>
      </c>
      <c r="J577" s="329">
        <f t="shared" ref="J577" si="281">IFERROR(AVERAGE(J570:J576), )</f>
        <v>0</v>
      </c>
      <c r="K577" s="224"/>
    </row>
    <row r="578" spans="1:11" x14ac:dyDescent="0.25">
      <c r="A578" s="325">
        <f>IF(Info!$J$3&gt;0,Info!$J$3+B578, )</f>
        <v>0</v>
      </c>
      <c r="B578" s="381">
        <v>603</v>
      </c>
      <c r="C578" s="308"/>
      <c r="D578" s="308"/>
      <c r="E578" s="308"/>
      <c r="F578" s="313"/>
      <c r="G578" s="313"/>
      <c r="H578" s="317"/>
      <c r="I578" s="317"/>
      <c r="J578" s="225"/>
      <c r="K578" s="208"/>
    </row>
    <row r="579" spans="1:11" x14ac:dyDescent="0.25">
      <c r="A579" s="325">
        <f>IF(Info!$J$3&gt;0,Info!$J$3+B579, )</f>
        <v>0</v>
      </c>
      <c r="B579" s="335">
        <v>604</v>
      </c>
      <c r="C579" s="299"/>
      <c r="D579" s="299"/>
      <c r="E579" s="299"/>
      <c r="F579" s="211"/>
      <c r="G579" s="211"/>
      <c r="H579" s="294"/>
      <c r="I579" s="294"/>
      <c r="J579" s="208"/>
      <c r="K579" s="208"/>
    </row>
    <row r="580" spans="1:11" x14ac:dyDescent="0.25">
      <c r="A580" s="325">
        <f>IF(Info!$J$3&gt;0,Info!$J$3+B580, )</f>
        <v>0</v>
      </c>
      <c r="B580" s="381">
        <v>605</v>
      </c>
      <c r="C580" s="299"/>
      <c r="D580" s="299"/>
      <c r="E580" s="299"/>
      <c r="F580" s="211"/>
      <c r="G580" s="211"/>
      <c r="H580" s="294"/>
      <c r="I580" s="294"/>
      <c r="J580" s="208"/>
      <c r="K580" s="208"/>
    </row>
    <row r="581" spans="1:11" x14ac:dyDescent="0.25">
      <c r="A581" s="325">
        <f>IF(Info!$J$3&gt;0,Info!$J$3+B581, )</f>
        <v>0</v>
      </c>
      <c r="B581" s="335">
        <v>606</v>
      </c>
      <c r="C581" s="299"/>
      <c r="D581" s="299"/>
      <c r="E581" s="299"/>
      <c r="F581" s="211"/>
      <c r="G581" s="211"/>
      <c r="H581" s="294"/>
      <c r="I581" s="294"/>
      <c r="J581" s="208"/>
      <c r="K581" s="208"/>
    </row>
    <row r="582" spans="1:11" x14ac:dyDescent="0.25">
      <c r="A582" s="325">
        <f>IF(Info!$J$3&gt;0,Info!$J$3+B582, )</f>
        <v>0</v>
      </c>
      <c r="B582" s="381">
        <v>607</v>
      </c>
      <c r="C582" s="299"/>
      <c r="D582" s="299"/>
      <c r="E582" s="299"/>
      <c r="F582" s="211"/>
      <c r="G582" s="211"/>
      <c r="H582" s="294"/>
      <c r="I582" s="294"/>
      <c r="J582" s="208"/>
      <c r="K582" s="208"/>
    </row>
    <row r="583" spans="1:11" x14ac:dyDescent="0.25">
      <c r="A583" s="325">
        <f>IF(Info!$J$3&gt;0,Info!$J$3+B583, )</f>
        <v>0</v>
      </c>
      <c r="B583" s="335">
        <v>608</v>
      </c>
      <c r="C583" s="299"/>
      <c r="D583" s="299"/>
      <c r="E583" s="299"/>
      <c r="F583" s="211"/>
      <c r="G583" s="211"/>
      <c r="H583" s="294"/>
      <c r="I583" s="294"/>
      <c r="J583" s="208"/>
      <c r="K583" s="208"/>
    </row>
    <row r="584" spans="1:11" x14ac:dyDescent="0.25">
      <c r="A584" s="325">
        <f>IF(Info!$J$3&gt;0,Info!$J$3+B584, )</f>
        <v>0</v>
      </c>
      <c r="B584" s="381">
        <v>609</v>
      </c>
      <c r="C584" s="299"/>
      <c r="D584" s="299"/>
      <c r="E584" s="299"/>
      <c r="F584" s="211"/>
      <c r="G584" s="211"/>
      <c r="H584" s="294"/>
      <c r="I584" s="294"/>
      <c r="J584" s="208"/>
      <c r="K584" s="208"/>
    </row>
    <row r="585" spans="1:11" x14ac:dyDescent="0.25">
      <c r="A585" s="326">
        <f>A584</f>
        <v>0</v>
      </c>
      <c r="B585" s="382" t="str">
        <f>Traducción!$B$24&amp;" 87"</f>
        <v>Sem. 87</v>
      </c>
      <c r="C585" s="307">
        <f t="shared" ref="C585:E585" si="282">SUM(C578:C584)</f>
        <v>0</v>
      </c>
      <c r="D585" s="307">
        <f t="shared" si="282"/>
        <v>0</v>
      </c>
      <c r="E585" s="307">
        <f t="shared" si="282"/>
        <v>0</v>
      </c>
      <c r="F585" s="312">
        <f t="shared" ref="F585:G585" si="283">IFERROR(AVERAGE(F578:F584), )</f>
        <v>0</v>
      </c>
      <c r="G585" s="312">
        <f t="shared" si="283"/>
        <v>0</v>
      </c>
      <c r="H585" s="316">
        <f t="shared" ref="H585:I585" si="284">SUM(H578:H584)</f>
        <v>0</v>
      </c>
      <c r="I585" s="316">
        <f t="shared" si="284"/>
        <v>0</v>
      </c>
      <c r="J585" s="329">
        <f t="shared" ref="J585" si="285">IFERROR(AVERAGE(J578:J584), )</f>
        <v>0</v>
      </c>
      <c r="K585" s="224"/>
    </row>
    <row r="586" spans="1:11" x14ac:dyDescent="0.25">
      <c r="A586" s="325">
        <f>IF(Info!$J$3&gt;0,Info!$J$3+B586, )</f>
        <v>0</v>
      </c>
      <c r="B586" s="381">
        <v>610</v>
      </c>
      <c r="C586" s="308"/>
      <c r="D586" s="308"/>
      <c r="E586" s="308"/>
      <c r="F586" s="313"/>
      <c r="G586" s="313"/>
      <c r="H586" s="317"/>
      <c r="I586" s="317"/>
      <c r="J586" s="225"/>
      <c r="K586" s="208"/>
    </row>
    <row r="587" spans="1:11" x14ac:dyDescent="0.25">
      <c r="A587" s="325">
        <f>IF(Info!$J$3&gt;0,Info!$J$3+B587, )</f>
        <v>0</v>
      </c>
      <c r="B587" s="335">
        <v>611</v>
      </c>
      <c r="C587" s="299"/>
      <c r="D587" s="299"/>
      <c r="E587" s="299"/>
      <c r="F587" s="211"/>
      <c r="G587" s="211"/>
      <c r="H587" s="294"/>
      <c r="I587" s="294"/>
      <c r="J587" s="208"/>
      <c r="K587" s="208"/>
    </row>
    <row r="588" spans="1:11" x14ac:dyDescent="0.25">
      <c r="A588" s="325">
        <f>IF(Info!$J$3&gt;0,Info!$J$3+B588, )</f>
        <v>0</v>
      </c>
      <c r="B588" s="381">
        <v>612</v>
      </c>
      <c r="C588" s="299"/>
      <c r="D588" s="299"/>
      <c r="E588" s="299"/>
      <c r="F588" s="211"/>
      <c r="G588" s="211"/>
      <c r="H588" s="294"/>
      <c r="I588" s="294"/>
      <c r="J588" s="208"/>
      <c r="K588" s="208"/>
    </row>
    <row r="589" spans="1:11" x14ac:dyDescent="0.25">
      <c r="A589" s="325">
        <f>IF(Info!$J$3&gt;0,Info!$J$3+B589, )</f>
        <v>0</v>
      </c>
      <c r="B589" s="335">
        <v>613</v>
      </c>
      <c r="C589" s="299"/>
      <c r="D589" s="299"/>
      <c r="E589" s="299"/>
      <c r="F589" s="211"/>
      <c r="G589" s="211"/>
      <c r="H589" s="294"/>
      <c r="I589" s="294"/>
      <c r="J589" s="208"/>
      <c r="K589" s="208"/>
    </row>
    <row r="590" spans="1:11" x14ac:dyDescent="0.25">
      <c r="A590" s="325">
        <f>IF(Info!$J$3&gt;0,Info!$J$3+B590, )</f>
        <v>0</v>
      </c>
      <c r="B590" s="381">
        <v>614</v>
      </c>
      <c r="C590" s="299"/>
      <c r="D590" s="299"/>
      <c r="E590" s="299"/>
      <c r="F590" s="211"/>
      <c r="G590" s="211"/>
      <c r="H590" s="294"/>
      <c r="I590" s="294"/>
      <c r="J590" s="208"/>
      <c r="K590" s="208"/>
    </row>
    <row r="591" spans="1:11" x14ac:dyDescent="0.25">
      <c r="A591" s="325">
        <f>IF(Info!$J$3&gt;0,Info!$J$3+B591, )</f>
        <v>0</v>
      </c>
      <c r="B591" s="335">
        <v>615</v>
      </c>
      <c r="C591" s="299"/>
      <c r="D591" s="299"/>
      <c r="E591" s="299"/>
      <c r="F591" s="211"/>
      <c r="G591" s="211"/>
      <c r="H591" s="294"/>
      <c r="I591" s="294"/>
      <c r="J591" s="208"/>
      <c r="K591" s="208"/>
    </row>
    <row r="592" spans="1:11" x14ac:dyDescent="0.25">
      <c r="A592" s="325">
        <f>IF(Info!$J$3&gt;0,Info!$J$3+B592, )</f>
        <v>0</v>
      </c>
      <c r="B592" s="381">
        <v>616</v>
      </c>
      <c r="C592" s="299"/>
      <c r="D592" s="299"/>
      <c r="E592" s="299"/>
      <c r="F592" s="211"/>
      <c r="G592" s="211"/>
      <c r="H592" s="294"/>
      <c r="I592" s="294"/>
      <c r="J592" s="208"/>
      <c r="K592" s="208"/>
    </row>
    <row r="593" spans="1:11" x14ac:dyDescent="0.25">
      <c r="A593" s="326">
        <f>A592</f>
        <v>0</v>
      </c>
      <c r="B593" s="382" t="str">
        <f>Traducción!$B$24&amp;" 88"</f>
        <v>Sem. 88</v>
      </c>
      <c r="C593" s="307">
        <f t="shared" ref="C593:E593" si="286">SUM(C586:C592)</f>
        <v>0</v>
      </c>
      <c r="D593" s="307">
        <f t="shared" si="286"/>
        <v>0</v>
      </c>
      <c r="E593" s="307">
        <f t="shared" si="286"/>
        <v>0</v>
      </c>
      <c r="F593" s="312">
        <f t="shared" ref="F593:G593" si="287">IFERROR(AVERAGE(F586:F592), )</f>
        <v>0</v>
      </c>
      <c r="G593" s="312">
        <f t="shared" si="287"/>
        <v>0</v>
      </c>
      <c r="H593" s="316">
        <f t="shared" ref="H593:I593" si="288">SUM(H586:H592)</f>
        <v>0</v>
      </c>
      <c r="I593" s="316">
        <f t="shared" si="288"/>
        <v>0</v>
      </c>
      <c r="J593" s="329">
        <f t="shared" ref="J593" si="289">IFERROR(AVERAGE(J586:J592), )</f>
        <v>0</v>
      </c>
      <c r="K593" s="224"/>
    </row>
    <row r="594" spans="1:11" x14ac:dyDescent="0.25">
      <c r="A594" s="325">
        <f>IF(Info!$J$3&gt;0,Info!$J$3+B594, )</f>
        <v>0</v>
      </c>
      <c r="B594" s="381">
        <v>617</v>
      </c>
      <c r="C594" s="308"/>
      <c r="D594" s="308"/>
      <c r="E594" s="308"/>
      <c r="F594" s="313"/>
      <c r="G594" s="313"/>
      <c r="H594" s="317"/>
      <c r="I594" s="317"/>
      <c r="J594" s="225"/>
      <c r="K594" s="208"/>
    </row>
    <row r="595" spans="1:11" x14ac:dyDescent="0.25">
      <c r="A595" s="325">
        <f>IF(Info!$J$3&gt;0,Info!$J$3+B595, )</f>
        <v>0</v>
      </c>
      <c r="B595" s="335">
        <v>618</v>
      </c>
      <c r="C595" s="299"/>
      <c r="D595" s="299"/>
      <c r="E595" s="299"/>
      <c r="F595" s="211"/>
      <c r="G595" s="211"/>
      <c r="H595" s="294"/>
      <c r="I595" s="294"/>
      <c r="J595" s="208"/>
      <c r="K595" s="208"/>
    </row>
    <row r="596" spans="1:11" x14ac:dyDescent="0.25">
      <c r="A596" s="325">
        <f>IF(Info!$J$3&gt;0,Info!$J$3+B596, )</f>
        <v>0</v>
      </c>
      <c r="B596" s="381">
        <v>619</v>
      </c>
      <c r="C596" s="299"/>
      <c r="D596" s="299"/>
      <c r="E596" s="299"/>
      <c r="F596" s="211"/>
      <c r="G596" s="211"/>
      <c r="H596" s="294"/>
      <c r="I596" s="294"/>
      <c r="J596" s="208"/>
      <c r="K596" s="208"/>
    </row>
    <row r="597" spans="1:11" x14ac:dyDescent="0.25">
      <c r="A597" s="325">
        <f>IF(Info!$J$3&gt;0,Info!$J$3+B597, )</f>
        <v>0</v>
      </c>
      <c r="B597" s="335">
        <v>620</v>
      </c>
      <c r="C597" s="299"/>
      <c r="D597" s="299"/>
      <c r="E597" s="299"/>
      <c r="F597" s="211"/>
      <c r="G597" s="211"/>
      <c r="H597" s="294"/>
      <c r="I597" s="294"/>
      <c r="J597" s="208"/>
      <c r="K597" s="208"/>
    </row>
    <row r="598" spans="1:11" x14ac:dyDescent="0.25">
      <c r="A598" s="325">
        <f>IF(Info!$J$3&gt;0,Info!$J$3+B598, )</f>
        <v>0</v>
      </c>
      <c r="B598" s="381">
        <v>621</v>
      </c>
      <c r="C598" s="299"/>
      <c r="D598" s="299"/>
      <c r="E598" s="299"/>
      <c r="F598" s="211"/>
      <c r="G598" s="211"/>
      <c r="H598" s="294"/>
      <c r="I598" s="294"/>
      <c r="J598" s="208"/>
      <c r="K598" s="208"/>
    </row>
    <row r="599" spans="1:11" x14ac:dyDescent="0.25">
      <c r="A599" s="325">
        <f>IF(Info!$J$3&gt;0,Info!$J$3+B599, )</f>
        <v>0</v>
      </c>
      <c r="B599" s="335">
        <v>622</v>
      </c>
      <c r="C599" s="299"/>
      <c r="D599" s="299"/>
      <c r="E599" s="299"/>
      <c r="F599" s="211"/>
      <c r="G599" s="211"/>
      <c r="H599" s="294"/>
      <c r="I599" s="294"/>
      <c r="J599" s="208"/>
      <c r="K599" s="208"/>
    </row>
    <row r="600" spans="1:11" x14ac:dyDescent="0.25">
      <c r="A600" s="325">
        <f>IF(Info!$J$3&gt;0,Info!$J$3+B600, )</f>
        <v>0</v>
      </c>
      <c r="B600" s="381">
        <v>623</v>
      </c>
      <c r="C600" s="299"/>
      <c r="D600" s="299"/>
      <c r="E600" s="299"/>
      <c r="F600" s="211"/>
      <c r="G600" s="211"/>
      <c r="H600" s="294"/>
      <c r="I600" s="294"/>
      <c r="J600" s="208"/>
      <c r="K600" s="208"/>
    </row>
    <row r="601" spans="1:11" x14ac:dyDescent="0.25">
      <c r="A601" s="326">
        <f>A600</f>
        <v>0</v>
      </c>
      <c r="B601" s="382" t="str">
        <f>Traducción!$B$24&amp;" 89"</f>
        <v>Sem. 89</v>
      </c>
      <c r="C601" s="307">
        <f t="shared" ref="C601:E601" si="290">SUM(C594:C600)</f>
        <v>0</v>
      </c>
      <c r="D601" s="307">
        <f t="shared" si="290"/>
        <v>0</v>
      </c>
      <c r="E601" s="307">
        <f t="shared" si="290"/>
        <v>0</v>
      </c>
      <c r="F601" s="312">
        <f t="shared" ref="F601:G601" si="291">IFERROR(AVERAGE(F594:F600), )</f>
        <v>0</v>
      </c>
      <c r="G601" s="312">
        <f t="shared" si="291"/>
        <v>0</v>
      </c>
      <c r="H601" s="316">
        <f t="shared" ref="H601:I601" si="292">SUM(H594:H600)</f>
        <v>0</v>
      </c>
      <c r="I601" s="316">
        <f t="shared" si="292"/>
        <v>0</v>
      </c>
      <c r="J601" s="329">
        <f t="shared" ref="J601" si="293">IFERROR(AVERAGE(J594:J600), )</f>
        <v>0</v>
      </c>
      <c r="K601" s="224"/>
    </row>
    <row r="602" spans="1:11" x14ac:dyDescent="0.25">
      <c r="A602" s="325">
        <f>IF(Info!$J$3&gt;0,Info!$J$3+B602, )</f>
        <v>0</v>
      </c>
      <c r="B602" s="381">
        <v>624</v>
      </c>
      <c r="C602" s="308"/>
      <c r="D602" s="308"/>
      <c r="E602" s="308"/>
      <c r="F602" s="313"/>
      <c r="G602" s="313"/>
      <c r="H602" s="317"/>
      <c r="I602" s="317"/>
      <c r="J602" s="225"/>
      <c r="K602" s="208"/>
    </row>
    <row r="603" spans="1:11" x14ac:dyDescent="0.25">
      <c r="A603" s="325">
        <f>IF(Info!$J$3&gt;0,Info!$J$3+B603, )</f>
        <v>0</v>
      </c>
      <c r="B603" s="335">
        <v>625</v>
      </c>
      <c r="C603" s="299"/>
      <c r="D603" s="299"/>
      <c r="E603" s="299"/>
      <c r="F603" s="211"/>
      <c r="G603" s="211"/>
      <c r="H603" s="294"/>
      <c r="I603" s="294"/>
      <c r="J603" s="208"/>
      <c r="K603" s="208"/>
    </row>
    <row r="604" spans="1:11" x14ac:dyDescent="0.25">
      <c r="A604" s="325">
        <f>IF(Info!$J$3&gt;0,Info!$J$3+B604, )</f>
        <v>0</v>
      </c>
      <c r="B604" s="381">
        <v>626</v>
      </c>
      <c r="C604" s="299"/>
      <c r="D604" s="299"/>
      <c r="E604" s="299"/>
      <c r="F604" s="211"/>
      <c r="G604" s="211"/>
      <c r="H604" s="294"/>
      <c r="I604" s="294"/>
      <c r="J604" s="208"/>
      <c r="K604" s="208"/>
    </row>
    <row r="605" spans="1:11" x14ac:dyDescent="0.25">
      <c r="A605" s="325">
        <f>IF(Info!$J$3&gt;0,Info!$J$3+B605, )</f>
        <v>0</v>
      </c>
      <c r="B605" s="335">
        <v>627</v>
      </c>
      <c r="C605" s="299"/>
      <c r="D605" s="299"/>
      <c r="E605" s="299"/>
      <c r="F605" s="211"/>
      <c r="G605" s="211"/>
      <c r="H605" s="294"/>
      <c r="I605" s="294"/>
      <c r="J605" s="208"/>
      <c r="K605" s="208"/>
    </row>
    <row r="606" spans="1:11" x14ac:dyDescent="0.25">
      <c r="A606" s="325">
        <f>IF(Info!$J$3&gt;0,Info!$J$3+B606, )</f>
        <v>0</v>
      </c>
      <c r="B606" s="381">
        <v>628</v>
      </c>
      <c r="C606" s="299"/>
      <c r="D606" s="299"/>
      <c r="E606" s="299"/>
      <c r="F606" s="211"/>
      <c r="G606" s="211"/>
      <c r="H606" s="294"/>
      <c r="I606" s="294"/>
      <c r="J606" s="208"/>
      <c r="K606" s="208"/>
    </row>
    <row r="607" spans="1:11" x14ac:dyDescent="0.25">
      <c r="A607" s="325">
        <f>IF(Info!$J$3&gt;0,Info!$J$3+B607, )</f>
        <v>0</v>
      </c>
      <c r="B607" s="335">
        <v>629</v>
      </c>
      <c r="C607" s="299"/>
      <c r="D607" s="299"/>
      <c r="E607" s="299"/>
      <c r="F607" s="211"/>
      <c r="G607" s="211"/>
      <c r="H607" s="294"/>
      <c r="I607" s="294"/>
      <c r="J607" s="208"/>
      <c r="K607" s="208"/>
    </row>
    <row r="608" spans="1:11" x14ac:dyDescent="0.25">
      <c r="A608" s="325">
        <f>IF(Info!$J$3&gt;0,Info!$J$3+B608, )</f>
        <v>0</v>
      </c>
      <c r="B608" s="381">
        <v>630</v>
      </c>
      <c r="C608" s="299"/>
      <c r="D608" s="299"/>
      <c r="E608" s="299"/>
      <c r="F608" s="211"/>
      <c r="G608" s="211"/>
      <c r="H608" s="294"/>
      <c r="I608" s="294"/>
      <c r="J608" s="208"/>
      <c r="K608" s="208"/>
    </row>
    <row r="609" spans="1:11" x14ac:dyDescent="0.25">
      <c r="A609" s="326">
        <f>A608</f>
        <v>0</v>
      </c>
      <c r="B609" s="382" t="str">
        <f>Traducción!$B$24&amp;" 90"</f>
        <v>Sem. 90</v>
      </c>
      <c r="C609" s="307">
        <f t="shared" ref="C609:E609" si="294">SUM(C602:C608)</f>
        <v>0</v>
      </c>
      <c r="D609" s="307">
        <f t="shared" si="294"/>
        <v>0</v>
      </c>
      <c r="E609" s="307">
        <f t="shared" si="294"/>
        <v>0</v>
      </c>
      <c r="F609" s="312">
        <f t="shared" ref="F609:G609" si="295">IFERROR(AVERAGE(F602:F608), )</f>
        <v>0</v>
      </c>
      <c r="G609" s="312">
        <f t="shared" si="295"/>
        <v>0</v>
      </c>
      <c r="H609" s="316">
        <f t="shared" ref="H609:I609" si="296">SUM(H602:H608)</f>
        <v>0</v>
      </c>
      <c r="I609" s="316">
        <f t="shared" si="296"/>
        <v>0</v>
      </c>
      <c r="J609" s="329">
        <f t="shared" ref="J609" si="297">IFERROR(AVERAGE(J602:J608), )</f>
        <v>0</v>
      </c>
      <c r="K609" s="224"/>
    </row>
    <row r="610" spans="1:11" x14ac:dyDescent="0.25">
      <c r="A610" s="325">
        <f>IF(Info!$J$3&gt;0,Info!$J$3+B610, )</f>
        <v>0</v>
      </c>
      <c r="B610" s="381">
        <v>631</v>
      </c>
      <c r="C610" s="308"/>
      <c r="D610" s="308"/>
      <c r="E610" s="308"/>
      <c r="F610" s="313"/>
      <c r="G610" s="313"/>
      <c r="H610" s="317"/>
      <c r="I610" s="317"/>
      <c r="J610" s="225"/>
      <c r="K610" s="208"/>
    </row>
    <row r="611" spans="1:11" x14ac:dyDescent="0.25">
      <c r="A611" s="325">
        <f>IF(Info!$J$3&gt;0,Info!$J$3+B611, )</f>
        <v>0</v>
      </c>
      <c r="B611" s="335">
        <v>632</v>
      </c>
      <c r="C611" s="299"/>
      <c r="D611" s="299"/>
      <c r="E611" s="299"/>
      <c r="F611" s="211"/>
      <c r="G611" s="211"/>
      <c r="H611" s="294"/>
      <c r="I611" s="294"/>
      <c r="J611" s="208"/>
      <c r="K611" s="208"/>
    </row>
    <row r="612" spans="1:11" x14ac:dyDescent="0.25">
      <c r="A612" s="325">
        <f>IF(Info!$J$3&gt;0,Info!$J$3+B612, )</f>
        <v>0</v>
      </c>
      <c r="B612" s="381">
        <v>633</v>
      </c>
      <c r="C612" s="299"/>
      <c r="D612" s="299"/>
      <c r="E612" s="299"/>
      <c r="F612" s="211"/>
      <c r="G612" s="211"/>
      <c r="H612" s="294"/>
      <c r="I612" s="294"/>
      <c r="J612" s="208"/>
      <c r="K612" s="208"/>
    </row>
    <row r="613" spans="1:11" x14ac:dyDescent="0.25">
      <c r="A613" s="325">
        <f>IF(Info!$J$3&gt;0,Info!$J$3+B613, )</f>
        <v>0</v>
      </c>
      <c r="B613" s="335">
        <v>634</v>
      </c>
      <c r="C613" s="299"/>
      <c r="D613" s="299"/>
      <c r="E613" s="299"/>
      <c r="F613" s="211"/>
      <c r="G613" s="211"/>
      <c r="H613" s="294"/>
      <c r="I613" s="294"/>
      <c r="J613" s="208"/>
      <c r="K613" s="208"/>
    </row>
    <row r="614" spans="1:11" x14ac:dyDescent="0.25">
      <c r="A614" s="325">
        <f>IF(Info!$J$3&gt;0,Info!$J$3+B614, )</f>
        <v>0</v>
      </c>
      <c r="B614" s="381">
        <v>635</v>
      </c>
      <c r="C614" s="299"/>
      <c r="D614" s="299"/>
      <c r="E614" s="299"/>
      <c r="F614" s="211"/>
      <c r="G614" s="211"/>
      <c r="H614" s="294"/>
      <c r="I614" s="294"/>
      <c r="J614" s="208"/>
      <c r="K614" s="208"/>
    </row>
    <row r="615" spans="1:11" x14ac:dyDescent="0.25">
      <c r="A615" s="325">
        <f>IF(Info!$J$3&gt;0,Info!$J$3+B615, )</f>
        <v>0</v>
      </c>
      <c r="B615" s="335">
        <v>636</v>
      </c>
      <c r="C615" s="299"/>
      <c r="D615" s="299"/>
      <c r="E615" s="299"/>
      <c r="F615" s="211"/>
      <c r="G615" s="211"/>
      <c r="H615" s="294"/>
      <c r="I615" s="294"/>
      <c r="J615" s="208"/>
      <c r="K615" s="208"/>
    </row>
    <row r="616" spans="1:11" x14ac:dyDescent="0.25">
      <c r="A616" s="325">
        <f>IF(Info!$J$3&gt;0,Info!$J$3+B616, )</f>
        <v>0</v>
      </c>
      <c r="B616" s="381">
        <v>637</v>
      </c>
      <c r="C616" s="299"/>
      <c r="D616" s="299"/>
      <c r="E616" s="299"/>
      <c r="F616" s="211"/>
      <c r="G616" s="211"/>
      <c r="H616" s="294"/>
      <c r="I616" s="294"/>
      <c r="J616" s="208"/>
      <c r="K616" s="208"/>
    </row>
    <row r="617" spans="1:11" x14ac:dyDescent="0.25">
      <c r="A617" s="326">
        <f>A616</f>
        <v>0</v>
      </c>
      <c r="B617" s="382" t="str">
        <f>Traducción!$B$24&amp;" 91"</f>
        <v>Sem. 91</v>
      </c>
      <c r="C617" s="307">
        <f t="shared" ref="C617:E617" si="298">SUM(C610:C616)</f>
        <v>0</v>
      </c>
      <c r="D617" s="307">
        <f t="shared" si="298"/>
        <v>0</v>
      </c>
      <c r="E617" s="307">
        <f t="shared" si="298"/>
        <v>0</v>
      </c>
      <c r="F617" s="312">
        <f t="shared" ref="F617:G617" si="299">IFERROR(AVERAGE(F610:F616), )</f>
        <v>0</v>
      </c>
      <c r="G617" s="312">
        <f t="shared" si="299"/>
        <v>0</v>
      </c>
      <c r="H617" s="316">
        <f t="shared" ref="H617:I617" si="300">SUM(H610:H616)</f>
        <v>0</v>
      </c>
      <c r="I617" s="316">
        <f t="shared" si="300"/>
        <v>0</v>
      </c>
      <c r="J617" s="329">
        <f t="shared" ref="J617" si="301">IFERROR(AVERAGE(J610:J616), )</f>
        <v>0</v>
      </c>
      <c r="K617" s="224"/>
    </row>
    <row r="618" spans="1:11" x14ac:dyDescent="0.25">
      <c r="A618" s="325">
        <f>IF(Info!$J$3&gt;0,Info!$J$3+B618, )</f>
        <v>0</v>
      </c>
      <c r="B618" s="381">
        <v>638</v>
      </c>
      <c r="C618" s="308"/>
      <c r="D618" s="308"/>
      <c r="E618" s="308"/>
      <c r="F618" s="313"/>
      <c r="G618" s="313"/>
      <c r="H618" s="317"/>
      <c r="I618" s="317"/>
      <c r="J618" s="225"/>
      <c r="K618" s="208"/>
    </row>
    <row r="619" spans="1:11" x14ac:dyDescent="0.25">
      <c r="A619" s="325">
        <f>IF(Info!$J$3&gt;0,Info!$J$3+B619, )</f>
        <v>0</v>
      </c>
      <c r="B619" s="335">
        <v>639</v>
      </c>
      <c r="C619" s="299"/>
      <c r="D619" s="299"/>
      <c r="E619" s="299"/>
      <c r="F619" s="211"/>
      <c r="G619" s="211"/>
      <c r="H619" s="294"/>
      <c r="I619" s="294"/>
      <c r="J619" s="208"/>
      <c r="K619" s="208"/>
    </row>
    <row r="620" spans="1:11" x14ac:dyDescent="0.25">
      <c r="A620" s="325">
        <f>IF(Info!$J$3&gt;0,Info!$J$3+B620, )</f>
        <v>0</v>
      </c>
      <c r="B620" s="381">
        <v>640</v>
      </c>
      <c r="C620" s="299"/>
      <c r="D620" s="299"/>
      <c r="E620" s="299"/>
      <c r="F620" s="211"/>
      <c r="G620" s="211"/>
      <c r="H620" s="294"/>
      <c r="I620" s="294"/>
      <c r="J620" s="208"/>
      <c r="K620" s="208"/>
    </row>
    <row r="621" spans="1:11" x14ac:dyDescent="0.25">
      <c r="A621" s="325">
        <f>IF(Info!$J$3&gt;0,Info!$J$3+B621, )</f>
        <v>0</v>
      </c>
      <c r="B621" s="335">
        <v>641</v>
      </c>
      <c r="C621" s="299"/>
      <c r="D621" s="299"/>
      <c r="E621" s="299"/>
      <c r="F621" s="211"/>
      <c r="G621" s="211"/>
      <c r="H621" s="294"/>
      <c r="I621" s="294"/>
      <c r="J621" s="208"/>
      <c r="K621" s="208"/>
    </row>
    <row r="622" spans="1:11" x14ac:dyDescent="0.25">
      <c r="A622" s="325">
        <f>IF(Info!$J$3&gt;0,Info!$J$3+B622, )</f>
        <v>0</v>
      </c>
      <c r="B622" s="381">
        <v>642</v>
      </c>
      <c r="C622" s="299"/>
      <c r="D622" s="299"/>
      <c r="E622" s="299"/>
      <c r="F622" s="211"/>
      <c r="G622" s="211"/>
      <c r="H622" s="294"/>
      <c r="I622" s="294"/>
      <c r="J622" s="208"/>
      <c r="K622" s="208"/>
    </row>
    <row r="623" spans="1:11" x14ac:dyDescent="0.25">
      <c r="A623" s="325">
        <f>IF(Info!$J$3&gt;0,Info!$J$3+B623, )</f>
        <v>0</v>
      </c>
      <c r="B623" s="335">
        <v>643</v>
      </c>
      <c r="C623" s="299"/>
      <c r="D623" s="299"/>
      <c r="E623" s="299"/>
      <c r="F623" s="211"/>
      <c r="G623" s="211"/>
      <c r="H623" s="294"/>
      <c r="I623" s="294"/>
      <c r="J623" s="208"/>
      <c r="K623" s="208"/>
    </row>
    <row r="624" spans="1:11" x14ac:dyDescent="0.25">
      <c r="A624" s="325">
        <f>IF(Info!$J$3&gt;0,Info!$J$3+B624, )</f>
        <v>0</v>
      </c>
      <c r="B624" s="381">
        <v>644</v>
      </c>
      <c r="C624" s="299"/>
      <c r="D624" s="299"/>
      <c r="E624" s="299"/>
      <c r="F624" s="211"/>
      <c r="G624" s="211"/>
      <c r="H624" s="294"/>
      <c r="I624" s="294"/>
      <c r="J624" s="208"/>
      <c r="K624" s="208"/>
    </row>
    <row r="625" spans="1:11" x14ac:dyDescent="0.25">
      <c r="A625" s="326">
        <f>A624</f>
        <v>0</v>
      </c>
      <c r="B625" s="382" t="str">
        <f>Traducción!$B$24&amp;" 92"</f>
        <v>Sem. 92</v>
      </c>
      <c r="C625" s="307">
        <f t="shared" ref="C625:E625" si="302">SUM(C618:C624)</f>
        <v>0</v>
      </c>
      <c r="D625" s="307">
        <f t="shared" si="302"/>
        <v>0</v>
      </c>
      <c r="E625" s="307">
        <f t="shared" si="302"/>
        <v>0</v>
      </c>
      <c r="F625" s="312">
        <f t="shared" ref="F625:G625" si="303">IFERROR(AVERAGE(F618:F624), )</f>
        <v>0</v>
      </c>
      <c r="G625" s="312">
        <f t="shared" si="303"/>
        <v>0</v>
      </c>
      <c r="H625" s="316">
        <f t="shared" ref="H625:I625" si="304">SUM(H618:H624)</f>
        <v>0</v>
      </c>
      <c r="I625" s="316">
        <f t="shared" si="304"/>
        <v>0</v>
      </c>
      <c r="J625" s="329">
        <f t="shared" ref="J625" si="305">IFERROR(AVERAGE(J618:J624), )</f>
        <v>0</v>
      </c>
      <c r="K625" s="224"/>
    </row>
    <row r="626" spans="1:11" x14ac:dyDescent="0.25">
      <c r="A626" s="325">
        <f>IF(Info!$J$3&gt;0,Info!$J$3+B626, )</f>
        <v>0</v>
      </c>
      <c r="B626" s="381">
        <v>645</v>
      </c>
      <c r="C626" s="308"/>
      <c r="D626" s="308"/>
      <c r="E626" s="308"/>
      <c r="F626" s="313"/>
      <c r="G626" s="313"/>
      <c r="H626" s="317"/>
      <c r="I626" s="317"/>
      <c r="J626" s="225"/>
      <c r="K626" s="208"/>
    </row>
    <row r="627" spans="1:11" x14ac:dyDescent="0.25">
      <c r="A627" s="325">
        <f>IF(Info!$J$3&gt;0,Info!$J$3+B627, )</f>
        <v>0</v>
      </c>
      <c r="B627" s="335">
        <v>646</v>
      </c>
      <c r="C627" s="299"/>
      <c r="D627" s="299"/>
      <c r="E627" s="299"/>
      <c r="F627" s="211"/>
      <c r="G627" s="211"/>
      <c r="H627" s="294"/>
      <c r="I627" s="294"/>
      <c r="J627" s="208"/>
      <c r="K627" s="208"/>
    </row>
    <row r="628" spans="1:11" x14ac:dyDescent="0.25">
      <c r="A628" s="325">
        <f>IF(Info!$J$3&gt;0,Info!$J$3+B628, )</f>
        <v>0</v>
      </c>
      <c r="B628" s="381">
        <v>647</v>
      </c>
      <c r="C628" s="299"/>
      <c r="D628" s="299"/>
      <c r="E628" s="299"/>
      <c r="F628" s="211"/>
      <c r="G628" s="211"/>
      <c r="H628" s="294"/>
      <c r="I628" s="294"/>
      <c r="J628" s="208"/>
      <c r="K628" s="208"/>
    </row>
    <row r="629" spans="1:11" x14ac:dyDescent="0.25">
      <c r="A629" s="325">
        <f>IF(Info!$J$3&gt;0,Info!$J$3+B629, )</f>
        <v>0</v>
      </c>
      <c r="B629" s="335">
        <v>648</v>
      </c>
      <c r="C629" s="299"/>
      <c r="D629" s="299"/>
      <c r="E629" s="299"/>
      <c r="F629" s="211"/>
      <c r="G629" s="211"/>
      <c r="H629" s="294"/>
      <c r="I629" s="294"/>
      <c r="J629" s="208"/>
      <c r="K629" s="208"/>
    </row>
    <row r="630" spans="1:11" x14ac:dyDescent="0.25">
      <c r="A630" s="325">
        <f>IF(Info!$J$3&gt;0,Info!$J$3+B630, )</f>
        <v>0</v>
      </c>
      <c r="B630" s="381">
        <v>649</v>
      </c>
      <c r="C630" s="299"/>
      <c r="D630" s="299"/>
      <c r="E630" s="299"/>
      <c r="F630" s="211"/>
      <c r="G630" s="211"/>
      <c r="H630" s="294"/>
      <c r="I630" s="294"/>
      <c r="J630" s="208"/>
      <c r="K630" s="208"/>
    </row>
    <row r="631" spans="1:11" x14ac:dyDescent="0.25">
      <c r="A631" s="325">
        <f>IF(Info!$J$3&gt;0,Info!$J$3+B631, )</f>
        <v>0</v>
      </c>
      <c r="B631" s="335">
        <v>650</v>
      </c>
      <c r="C631" s="299"/>
      <c r="D631" s="299"/>
      <c r="E631" s="299"/>
      <c r="F631" s="211"/>
      <c r="G631" s="211"/>
      <c r="H631" s="294"/>
      <c r="I631" s="294"/>
      <c r="J631" s="208"/>
      <c r="K631" s="208"/>
    </row>
    <row r="632" spans="1:11" x14ac:dyDescent="0.25">
      <c r="A632" s="325">
        <f>IF(Info!$J$3&gt;0,Info!$J$3+B632, )</f>
        <v>0</v>
      </c>
      <c r="B632" s="381">
        <v>651</v>
      </c>
      <c r="C632" s="299"/>
      <c r="D632" s="299"/>
      <c r="E632" s="299"/>
      <c r="F632" s="211"/>
      <c r="G632" s="211"/>
      <c r="H632" s="294"/>
      <c r="I632" s="294"/>
      <c r="J632" s="208"/>
      <c r="K632" s="208"/>
    </row>
    <row r="633" spans="1:11" x14ac:dyDescent="0.25">
      <c r="A633" s="326">
        <f>A632</f>
        <v>0</v>
      </c>
      <c r="B633" s="382" t="str">
        <f>Traducción!$B$24&amp;" 93"</f>
        <v>Sem. 93</v>
      </c>
      <c r="C633" s="307">
        <f t="shared" ref="C633:E633" si="306">SUM(C626:C632)</f>
        <v>0</v>
      </c>
      <c r="D633" s="307">
        <f t="shared" si="306"/>
        <v>0</v>
      </c>
      <c r="E633" s="307">
        <f t="shared" si="306"/>
        <v>0</v>
      </c>
      <c r="F633" s="312">
        <f t="shared" ref="F633:G633" si="307">IFERROR(AVERAGE(F626:F632), )</f>
        <v>0</v>
      </c>
      <c r="G633" s="312">
        <f t="shared" si="307"/>
        <v>0</v>
      </c>
      <c r="H633" s="316">
        <f t="shared" ref="H633:I633" si="308">SUM(H626:H632)</f>
        <v>0</v>
      </c>
      <c r="I633" s="316">
        <f t="shared" si="308"/>
        <v>0</v>
      </c>
      <c r="J633" s="329">
        <f t="shared" ref="J633" si="309">IFERROR(AVERAGE(J626:J632), )</f>
        <v>0</v>
      </c>
      <c r="K633" s="224"/>
    </row>
    <row r="634" spans="1:11" x14ac:dyDescent="0.25">
      <c r="A634" s="325">
        <f>IF(Info!$J$3&gt;0,Info!$J$3+B634, )</f>
        <v>0</v>
      </c>
      <c r="B634" s="381">
        <v>652</v>
      </c>
      <c r="C634" s="308"/>
      <c r="D634" s="308"/>
      <c r="E634" s="308"/>
      <c r="F634" s="313"/>
      <c r="G634" s="313"/>
      <c r="H634" s="317"/>
      <c r="I634" s="317"/>
      <c r="J634" s="225"/>
      <c r="K634" s="208"/>
    </row>
    <row r="635" spans="1:11" x14ac:dyDescent="0.25">
      <c r="A635" s="325">
        <f>IF(Info!$J$3&gt;0,Info!$J$3+B635, )</f>
        <v>0</v>
      </c>
      <c r="B635" s="335">
        <v>653</v>
      </c>
      <c r="C635" s="299"/>
      <c r="D635" s="299"/>
      <c r="E635" s="299"/>
      <c r="F635" s="211"/>
      <c r="G635" s="211"/>
      <c r="H635" s="294"/>
      <c r="I635" s="294"/>
      <c r="J635" s="208"/>
      <c r="K635" s="208"/>
    </row>
    <row r="636" spans="1:11" x14ac:dyDescent="0.25">
      <c r="A636" s="325">
        <f>IF(Info!$J$3&gt;0,Info!$J$3+B636, )</f>
        <v>0</v>
      </c>
      <c r="B636" s="381">
        <v>654</v>
      </c>
      <c r="C636" s="299"/>
      <c r="D636" s="299"/>
      <c r="E636" s="299"/>
      <c r="F636" s="211"/>
      <c r="G636" s="211"/>
      <c r="H636" s="294"/>
      <c r="I636" s="294"/>
      <c r="J636" s="208"/>
      <c r="K636" s="208"/>
    </row>
    <row r="637" spans="1:11" x14ac:dyDescent="0.25">
      <c r="A637" s="325">
        <f>IF(Info!$J$3&gt;0,Info!$J$3+B637, )</f>
        <v>0</v>
      </c>
      <c r="B637" s="335">
        <v>655</v>
      </c>
      <c r="C637" s="299"/>
      <c r="D637" s="299"/>
      <c r="E637" s="299"/>
      <c r="F637" s="211"/>
      <c r="G637" s="211"/>
      <c r="H637" s="294"/>
      <c r="I637" s="294"/>
      <c r="J637" s="208"/>
      <c r="K637" s="208"/>
    </row>
    <row r="638" spans="1:11" x14ac:dyDescent="0.25">
      <c r="A638" s="325">
        <f>IF(Info!$J$3&gt;0,Info!$J$3+B638, )</f>
        <v>0</v>
      </c>
      <c r="B638" s="381">
        <v>656</v>
      </c>
      <c r="C638" s="299"/>
      <c r="D638" s="299"/>
      <c r="E638" s="299"/>
      <c r="F638" s="211"/>
      <c r="G638" s="211"/>
      <c r="H638" s="294"/>
      <c r="I638" s="294"/>
      <c r="J638" s="208"/>
      <c r="K638" s="208"/>
    </row>
    <row r="639" spans="1:11" x14ac:dyDescent="0.25">
      <c r="A639" s="325">
        <f>IF(Info!$J$3&gt;0,Info!$J$3+B639, )</f>
        <v>0</v>
      </c>
      <c r="B639" s="335">
        <v>657</v>
      </c>
      <c r="C639" s="299"/>
      <c r="D639" s="299"/>
      <c r="E639" s="299"/>
      <c r="F639" s="211"/>
      <c r="G639" s="211"/>
      <c r="H639" s="294"/>
      <c r="I639" s="294"/>
      <c r="J639" s="208"/>
      <c r="K639" s="208"/>
    </row>
    <row r="640" spans="1:11" x14ac:dyDescent="0.25">
      <c r="A640" s="325">
        <f>IF(Info!$J$3&gt;0,Info!$J$3+B640, )</f>
        <v>0</v>
      </c>
      <c r="B640" s="381">
        <v>658</v>
      </c>
      <c r="C640" s="299"/>
      <c r="D640" s="299"/>
      <c r="E640" s="299"/>
      <c r="F640" s="211"/>
      <c r="G640" s="211"/>
      <c r="H640" s="294"/>
      <c r="I640" s="294"/>
      <c r="J640" s="208"/>
      <c r="K640" s="208"/>
    </row>
    <row r="641" spans="1:11" x14ac:dyDescent="0.25">
      <c r="A641" s="326">
        <f>A640</f>
        <v>0</v>
      </c>
      <c r="B641" s="382" t="str">
        <f>Traducción!$B$24&amp;" 94"</f>
        <v>Sem. 94</v>
      </c>
      <c r="C641" s="307">
        <f t="shared" ref="C641:E641" si="310">SUM(C634:C640)</f>
        <v>0</v>
      </c>
      <c r="D641" s="307">
        <f t="shared" si="310"/>
        <v>0</v>
      </c>
      <c r="E641" s="307">
        <f t="shared" si="310"/>
        <v>0</v>
      </c>
      <c r="F641" s="312">
        <f t="shared" ref="F641:G641" si="311">IFERROR(AVERAGE(F634:F640), )</f>
        <v>0</v>
      </c>
      <c r="G641" s="312">
        <f t="shared" si="311"/>
        <v>0</v>
      </c>
      <c r="H641" s="316">
        <f t="shared" ref="H641:I641" si="312">SUM(H634:H640)</f>
        <v>0</v>
      </c>
      <c r="I641" s="316">
        <f t="shared" si="312"/>
        <v>0</v>
      </c>
      <c r="J641" s="329">
        <f t="shared" ref="J641" si="313">IFERROR(AVERAGE(J634:J640), )</f>
        <v>0</v>
      </c>
      <c r="K641" s="224"/>
    </row>
    <row r="642" spans="1:11" x14ac:dyDescent="0.25">
      <c r="A642" s="325">
        <f>IF(Info!$J$3&gt;0,Info!$J$3+B642, )</f>
        <v>0</v>
      </c>
      <c r="B642" s="381">
        <v>659</v>
      </c>
      <c r="C642" s="308"/>
      <c r="D642" s="308"/>
      <c r="E642" s="308"/>
      <c r="F642" s="313"/>
      <c r="G642" s="313"/>
      <c r="H642" s="317"/>
      <c r="I642" s="317"/>
      <c r="J642" s="225"/>
      <c r="K642" s="208"/>
    </row>
    <row r="643" spans="1:11" x14ac:dyDescent="0.25">
      <c r="A643" s="325">
        <f>IF(Info!$J$3&gt;0,Info!$J$3+B643, )</f>
        <v>0</v>
      </c>
      <c r="B643" s="335">
        <v>660</v>
      </c>
      <c r="C643" s="299"/>
      <c r="D643" s="299"/>
      <c r="E643" s="299"/>
      <c r="F643" s="211"/>
      <c r="G643" s="211"/>
      <c r="H643" s="294"/>
      <c r="I643" s="294"/>
      <c r="J643" s="208"/>
      <c r="K643" s="208"/>
    </row>
    <row r="644" spans="1:11" x14ac:dyDescent="0.25">
      <c r="A644" s="325">
        <f>IF(Info!$J$3&gt;0,Info!$J$3+B644, )</f>
        <v>0</v>
      </c>
      <c r="B644" s="381">
        <v>661</v>
      </c>
      <c r="C644" s="299"/>
      <c r="D644" s="299"/>
      <c r="E644" s="299"/>
      <c r="F644" s="211"/>
      <c r="G644" s="211"/>
      <c r="H644" s="294"/>
      <c r="I644" s="294"/>
      <c r="J644" s="208"/>
      <c r="K644" s="208"/>
    </row>
    <row r="645" spans="1:11" x14ac:dyDescent="0.25">
      <c r="A645" s="325">
        <f>IF(Info!$J$3&gt;0,Info!$J$3+B645, )</f>
        <v>0</v>
      </c>
      <c r="B645" s="335">
        <v>662</v>
      </c>
      <c r="C645" s="299"/>
      <c r="D645" s="299"/>
      <c r="E645" s="299"/>
      <c r="F645" s="211"/>
      <c r="G645" s="211"/>
      <c r="H645" s="294"/>
      <c r="I645" s="294"/>
      <c r="J645" s="208"/>
      <c r="K645" s="208"/>
    </row>
    <row r="646" spans="1:11" x14ac:dyDescent="0.25">
      <c r="A646" s="325">
        <f>IF(Info!$J$3&gt;0,Info!$J$3+B646, )</f>
        <v>0</v>
      </c>
      <c r="B646" s="381">
        <v>663</v>
      </c>
      <c r="C646" s="299"/>
      <c r="D646" s="299"/>
      <c r="E646" s="299"/>
      <c r="F646" s="211"/>
      <c r="G646" s="211"/>
      <c r="H646" s="294"/>
      <c r="I646" s="294"/>
      <c r="J646" s="208"/>
      <c r="K646" s="208"/>
    </row>
    <row r="647" spans="1:11" x14ac:dyDescent="0.25">
      <c r="A647" s="325">
        <f>IF(Info!$J$3&gt;0,Info!$J$3+B647, )</f>
        <v>0</v>
      </c>
      <c r="B647" s="335">
        <v>664</v>
      </c>
      <c r="C647" s="299"/>
      <c r="D647" s="299"/>
      <c r="E647" s="299"/>
      <c r="F647" s="211"/>
      <c r="G647" s="211"/>
      <c r="H647" s="294"/>
      <c r="I647" s="294"/>
      <c r="J647" s="208"/>
      <c r="K647" s="208"/>
    </row>
    <row r="648" spans="1:11" x14ac:dyDescent="0.25">
      <c r="A648" s="325">
        <f>IF(Info!$J$3&gt;0,Info!$J$3+B648, )</f>
        <v>0</v>
      </c>
      <c r="B648" s="381">
        <v>665</v>
      </c>
      <c r="C648" s="299"/>
      <c r="D648" s="299"/>
      <c r="E648" s="299"/>
      <c r="F648" s="211"/>
      <c r="G648" s="211"/>
      <c r="H648" s="294"/>
      <c r="I648" s="294"/>
      <c r="J648" s="208"/>
      <c r="K648" s="208"/>
    </row>
    <row r="649" spans="1:11" x14ac:dyDescent="0.25">
      <c r="A649" s="326">
        <f>A648</f>
        <v>0</v>
      </c>
      <c r="B649" s="382" t="str">
        <f>Traducción!$B$24&amp;" 95"</f>
        <v>Sem. 95</v>
      </c>
      <c r="C649" s="307">
        <f t="shared" ref="C649:E649" si="314">SUM(C642:C648)</f>
        <v>0</v>
      </c>
      <c r="D649" s="307">
        <f t="shared" si="314"/>
        <v>0</v>
      </c>
      <c r="E649" s="307">
        <f t="shared" si="314"/>
        <v>0</v>
      </c>
      <c r="F649" s="312">
        <f t="shared" ref="F649:G649" si="315">IFERROR(AVERAGE(F642:F648), )</f>
        <v>0</v>
      </c>
      <c r="G649" s="312">
        <f t="shared" si="315"/>
        <v>0</v>
      </c>
      <c r="H649" s="316">
        <f t="shared" ref="H649:I649" si="316">SUM(H642:H648)</f>
        <v>0</v>
      </c>
      <c r="I649" s="316">
        <f t="shared" si="316"/>
        <v>0</v>
      </c>
      <c r="J649" s="329">
        <f t="shared" ref="J649" si="317">IFERROR(AVERAGE(J642:J648), )</f>
        <v>0</v>
      </c>
      <c r="K649" s="224"/>
    </row>
    <row r="650" spans="1:11" x14ac:dyDescent="0.25">
      <c r="A650" s="325">
        <f>IF(Info!$J$3&gt;0,Info!$J$3+B650, )</f>
        <v>0</v>
      </c>
      <c r="B650" s="381">
        <v>666</v>
      </c>
      <c r="C650" s="308"/>
      <c r="D650" s="308"/>
      <c r="E650" s="308"/>
      <c r="F650" s="313"/>
      <c r="G650" s="313"/>
      <c r="H650" s="317"/>
      <c r="I650" s="317"/>
      <c r="J650" s="225"/>
      <c r="K650" s="208"/>
    </row>
    <row r="651" spans="1:11" x14ac:dyDescent="0.25">
      <c r="A651" s="325">
        <f>IF(Info!$J$3&gt;0,Info!$J$3+B651, )</f>
        <v>0</v>
      </c>
      <c r="B651" s="335">
        <v>667</v>
      </c>
      <c r="C651" s="299"/>
      <c r="D651" s="299"/>
      <c r="E651" s="299"/>
      <c r="F651" s="211"/>
      <c r="G651" s="211"/>
      <c r="H651" s="294"/>
      <c r="I651" s="294"/>
      <c r="J651" s="208"/>
      <c r="K651" s="208"/>
    </row>
    <row r="652" spans="1:11" x14ac:dyDescent="0.25">
      <c r="A652" s="325">
        <f>IF(Info!$J$3&gt;0,Info!$J$3+B652, )</f>
        <v>0</v>
      </c>
      <c r="B652" s="381">
        <v>668</v>
      </c>
      <c r="C652" s="299"/>
      <c r="D652" s="299"/>
      <c r="E652" s="299"/>
      <c r="F652" s="211"/>
      <c r="G652" s="211"/>
      <c r="H652" s="294"/>
      <c r="I652" s="294"/>
      <c r="J652" s="208"/>
      <c r="K652" s="208"/>
    </row>
    <row r="653" spans="1:11" x14ac:dyDescent="0.25">
      <c r="A653" s="325">
        <f>IF(Info!$J$3&gt;0,Info!$J$3+B653, )</f>
        <v>0</v>
      </c>
      <c r="B653" s="335">
        <v>669</v>
      </c>
      <c r="C653" s="299"/>
      <c r="D653" s="299"/>
      <c r="E653" s="299"/>
      <c r="F653" s="211"/>
      <c r="G653" s="211"/>
      <c r="H653" s="294"/>
      <c r="I653" s="294"/>
      <c r="J653" s="208"/>
      <c r="K653" s="208"/>
    </row>
    <row r="654" spans="1:11" x14ac:dyDescent="0.25">
      <c r="A654" s="325">
        <f>IF(Info!$J$3&gt;0,Info!$J$3+B654, )</f>
        <v>0</v>
      </c>
      <c r="B654" s="381">
        <v>670</v>
      </c>
      <c r="C654" s="299"/>
      <c r="D654" s="299"/>
      <c r="E654" s="299"/>
      <c r="F654" s="211"/>
      <c r="G654" s="211"/>
      <c r="H654" s="294"/>
      <c r="I654" s="294"/>
      <c r="J654" s="208"/>
      <c r="K654" s="208"/>
    </row>
    <row r="655" spans="1:11" x14ac:dyDescent="0.25">
      <c r="A655" s="325">
        <f>IF(Info!$J$3&gt;0,Info!$J$3+B655, )</f>
        <v>0</v>
      </c>
      <c r="B655" s="335">
        <v>671</v>
      </c>
      <c r="C655" s="299"/>
      <c r="D655" s="299"/>
      <c r="E655" s="299"/>
      <c r="F655" s="211"/>
      <c r="G655" s="211"/>
      <c r="H655" s="294"/>
      <c r="I655" s="294"/>
      <c r="J655" s="208"/>
      <c r="K655" s="208"/>
    </row>
    <row r="656" spans="1:11" x14ac:dyDescent="0.25">
      <c r="A656" s="325">
        <f>IF(Info!$J$3&gt;0,Info!$J$3+B656, )</f>
        <v>0</v>
      </c>
      <c r="B656" s="381">
        <v>672</v>
      </c>
      <c r="C656" s="299"/>
      <c r="D656" s="299"/>
      <c r="E656" s="299"/>
      <c r="F656" s="211"/>
      <c r="G656" s="211"/>
      <c r="H656" s="294"/>
      <c r="I656" s="294"/>
      <c r="J656" s="208"/>
      <c r="K656" s="208"/>
    </row>
    <row r="657" spans="1:11" x14ac:dyDescent="0.25">
      <c r="A657" s="326">
        <f>A656</f>
        <v>0</v>
      </c>
      <c r="B657" s="382" t="str">
        <f>Traducción!$B$24&amp;" 96"</f>
        <v>Sem. 96</v>
      </c>
      <c r="C657" s="307">
        <f t="shared" ref="C657:E657" si="318">SUM(C650:C656)</f>
        <v>0</v>
      </c>
      <c r="D657" s="307">
        <f t="shared" si="318"/>
        <v>0</v>
      </c>
      <c r="E657" s="307">
        <f t="shared" si="318"/>
        <v>0</v>
      </c>
      <c r="F657" s="312">
        <f t="shared" ref="F657:G657" si="319">IFERROR(AVERAGE(F650:F656), )</f>
        <v>0</v>
      </c>
      <c r="G657" s="312">
        <f t="shared" si="319"/>
        <v>0</v>
      </c>
      <c r="H657" s="316">
        <f t="shared" ref="H657:I657" si="320">SUM(H650:H656)</f>
        <v>0</v>
      </c>
      <c r="I657" s="316">
        <f t="shared" si="320"/>
        <v>0</v>
      </c>
      <c r="J657" s="329">
        <f t="shared" ref="J657" si="321">IFERROR(AVERAGE(J650:J656), )</f>
        <v>0</v>
      </c>
      <c r="K657" s="224"/>
    </row>
    <row r="658" spans="1:11" x14ac:dyDescent="0.25">
      <c r="A658" s="325">
        <f>IF(Info!$J$3&gt;0,Info!$J$3+B658, )</f>
        <v>0</v>
      </c>
      <c r="B658" s="381">
        <v>673</v>
      </c>
      <c r="C658" s="308"/>
      <c r="D658" s="308"/>
      <c r="E658" s="308"/>
      <c r="F658" s="313"/>
      <c r="G658" s="313"/>
      <c r="H658" s="317"/>
      <c r="I658" s="317"/>
      <c r="J658" s="225"/>
      <c r="K658" s="208"/>
    </row>
    <row r="659" spans="1:11" x14ac:dyDescent="0.25">
      <c r="A659" s="325">
        <f>IF(Info!$J$3&gt;0,Info!$J$3+B659, )</f>
        <v>0</v>
      </c>
      <c r="B659" s="335">
        <v>674</v>
      </c>
      <c r="C659" s="299"/>
      <c r="D659" s="299"/>
      <c r="E659" s="299"/>
      <c r="F659" s="211"/>
      <c r="G659" s="211"/>
      <c r="H659" s="294"/>
      <c r="I659" s="294"/>
      <c r="J659" s="208"/>
      <c r="K659" s="208"/>
    </row>
    <row r="660" spans="1:11" x14ac:dyDescent="0.25">
      <c r="A660" s="325">
        <f>IF(Info!$J$3&gt;0,Info!$J$3+B660, )</f>
        <v>0</v>
      </c>
      <c r="B660" s="381">
        <v>675</v>
      </c>
      <c r="C660" s="299"/>
      <c r="D660" s="299"/>
      <c r="E660" s="299"/>
      <c r="F660" s="211"/>
      <c r="G660" s="211"/>
      <c r="H660" s="294"/>
      <c r="I660" s="294"/>
      <c r="J660" s="208"/>
      <c r="K660" s="208"/>
    </row>
    <row r="661" spans="1:11" x14ac:dyDescent="0.25">
      <c r="A661" s="325">
        <f>IF(Info!$J$3&gt;0,Info!$J$3+B661, )</f>
        <v>0</v>
      </c>
      <c r="B661" s="335">
        <v>676</v>
      </c>
      <c r="C661" s="299"/>
      <c r="D661" s="299"/>
      <c r="E661" s="299"/>
      <c r="F661" s="211"/>
      <c r="G661" s="211"/>
      <c r="H661" s="294"/>
      <c r="I661" s="294"/>
      <c r="J661" s="208"/>
      <c r="K661" s="208"/>
    </row>
    <row r="662" spans="1:11" x14ac:dyDescent="0.25">
      <c r="A662" s="325">
        <f>IF(Info!$J$3&gt;0,Info!$J$3+B662, )</f>
        <v>0</v>
      </c>
      <c r="B662" s="381">
        <v>677</v>
      </c>
      <c r="C662" s="299"/>
      <c r="D662" s="299"/>
      <c r="E662" s="299"/>
      <c r="F662" s="211"/>
      <c r="G662" s="211"/>
      <c r="H662" s="294"/>
      <c r="I662" s="294"/>
      <c r="J662" s="208"/>
      <c r="K662" s="208"/>
    </row>
    <row r="663" spans="1:11" x14ac:dyDescent="0.25">
      <c r="A663" s="325">
        <f>IF(Info!$J$3&gt;0,Info!$J$3+B663, )</f>
        <v>0</v>
      </c>
      <c r="B663" s="335">
        <v>678</v>
      </c>
      <c r="C663" s="299"/>
      <c r="D663" s="299"/>
      <c r="E663" s="299"/>
      <c r="F663" s="211"/>
      <c r="G663" s="211"/>
      <c r="H663" s="294"/>
      <c r="I663" s="294"/>
      <c r="J663" s="208"/>
      <c r="K663" s="208"/>
    </row>
    <row r="664" spans="1:11" x14ac:dyDescent="0.25">
      <c r="A664" s="325">
        <f>IF(Info!$J$3&gt;0,Info!$J$3+B664, )</f>
        <v>0</v>
      </c>
      <c r="B664" s="381">
        <v>679</v>
      </c>
      <c r="C664" s="299"/>
      <c r="D664" s="299"/>
      <c r="E664" s="299"/>
      <c r="F664" s="211"/>
      <c r="G664" s="211"/>
      <c r="H664" s="294"/>
      <c r="I664" s="294"/>
      <c r="J664" s="208"/>
      <c r="K664" s="208"/>
    </row>
    <row r="665" spans="1:11" x14ac:dyDescent="0.25">
      <c r="A665" s="326">
        <f>A664</f>
        <v>0</v>
      </c>
      <c r="B665" s="382" t="str">
        <f>Traducción!$B$24&amp;" 97"</f>
        <v>Sem. 97</v>
      </c>
      <c r="C665" s="307">
        <f t="shared" ref="C665:E665" si="322">SUM(C658:C664)</f>
        <v>0</v>
      </c>
      <c r="D665" s="307">
        <f t="shared" si="322"/>
        <v>0</v>
      </c>
      <c r="E665" s="307">
        <f t="shared" si="322"/>
        <v>0</v>
      </c>
      <c r="F665" s="312">
        <f t="shared" ref="F665:G665" si="323">IFERROR(AVERAGE(F658:F664), )</f>
        <v>0</v>
      </c>
      <c r="G665" s="312">
        <f t="shared" si="323"/>
        <v>0</v>
      </c>
      <c r="H665" s="316">
        <f t="shared" ref="H665:I665" si="324">SUM(H658:H664)</f>
        <v>0</v>
      </c>
      <c r="I665" s="316">
        <f t="shared" si="324"/>
        <v>0</v>
      </c>
      <c r="J665" s="329">
        <f t="shared" ref="J665" si="325">IFERROR(AVERAGE(J658:J664), )</f>
        <v>0</v>
      </c>
      <c r="K665" s="224"/>
    </row>
    <row r="666" spans="1:11" x14ac:dyDescent="0.25">
      <c r="A666" s="325">
        <f>IF(Info!$J$3&gt;0,Info!$J$3+B666, )</f>
        <v>0</v>
      </c>
      <c r="B666" s="381">
        <v>680</v>
      </c>
      <c r="C666" s="308"/>
      <c r="D666" s="308"/>
      <c r="E666" s="308"/>
      <c r="F666" s="313"/>
      <c r="G666" s="313"/>
      <c r="H666" s="317"/>
      <c r="I666" s="317"/>
      <c r="J666" s="225"/>
      <c r="K666" s="208"/>
    </row>
    <row r="667" spans="1:11" x14ac:dyDescent="0.25">
      <c r="A667" s="325">
        <f>IF(Info!$J$3&gt;0,Info!$J$3+B667, )</f>
        <v>0</v>
      </c>
      <c r="B667" s="335">
        <v>681</v>
      </c>
      <c r="C667" s="299"/>
      <c r="D667" s="299"/>
      <c r="E667" s="299"/>
      <c r="F667" s="211"/>
      <c r="G667" s="211"/>
      <c r="H667" s="294"/>
      <c r="I667" s="294"/>
      <c r="J667" s="208"/>
      <c r="K667" s="208"/>
    </row>
    <row r="668" spans="1:11" x14ac:dyDescent="0.25">
      <c r="A668" s="325">
        <f>IF(Info!$J$3&gt;0,Info!$J$3+B668, )</f>
        <v>0</v>
      </c>
      <c r="B668" s="381">
        <v>682</v>
      </c>
      <c r="C668" s="299"/>
      <c r="D668" s="299"/>
      <c r="E668" s="299"/>
      <c r="F668" s="211"/>
      <c r="G668" s="211"/>
      <c r="H668" s="294"/>
      <c r="I668" s="294"/>
      <c r="J668" s="208"/>
      <c r="K668" s="208"/>
    </row>
    <row r="669" spans="1:11" x14ac:dyDescent="0.25">
      <c r="A669" s="325">
        <f>IF(Info!$J$3&gt;0,Info!$J$3+B669, )</f>
        <v>0</v>
      </c>
      <c r="B669" s="335">
        <v>683</v>
      </c>
      <c r="C669" s="299"/>
      <c r="D669" s="299"/>
      <c r="E669" s="299"/>
      <c r="F669" s="211"/>
      <c r="G669" s="211"/>
      <c r="H669" s="294"/>
      <c r="I669" s="294"/>
      <c r="J669" s="208"/>
      <c r="K669" s="208"/>
    </row>
    <row r="670" spans="1:11" x14ac:dyDescent="0.25">
      <c r="A670" s="325">
        <f>IF(Info!$J$3&gt;0,Info!$J$3+B670, )</f>
        <v>0</v>
      </c>
      <c r="B670" s="381">
        <v>684</v>
      </c>
      <c r="C670" s="299"/>
      <c r="D670" s="299"/>
      <c r="E670" s="299"/>
      <c r="F670" s="211"/>
      <c r="G670" s="211"/>
      <c r="H670" s="294"/>
      <c r="I670" s="294"/>
      <c r="J670" s="208"/>
      <c r="K670" s="208"/>
    </row>
    <row r="671" spans="1:11" x14ac:dyDescent="0.25">
      <c r="A671" s="325">
        <f>IF(Info!$J$3&gt;0,Info!$J$3+B671, )</f>
        <v>0</v>
      </c>
      <c r="B671" s="335">
        <v>685</v>
      </c>
      <c r="C671" s="299"/>
      <c r="D671" s="299"/>
      <c r="E671" s="299"/>
      <c r="F671" s="211"/>
      <c r="G671" s="211"/>
      <c r="H671" s="294"/>
      <c r="I671" s="294"/>
      <c r="J671" s="208"/>
      <c r="K671" s="208"/>
    </row>
    <row r="672" spans="1:11" x14ac:dyDescent="0.25">
      <c r="A672" s="325">
        <f>IF(Info!$J$3&gt;0,Info!$J$3+B672, )</f>
        <v>0</v>
      </c>
      <c r="B672" s="381">
        <v>686</v>
      </c>
      <c r="C672" s="299"/>
      <c r="D672" s="299"/>
      <c r="E672" s="299"/>
      <c r="F672" s="211"/>
      <c r="G672" s="211"/>
      <c r="H672" s="294"/>
      <c r="I672" s="294"/>
      <c r="J672" s="208"/>
      <c r="K672" s="208"/>
    </row>
    <row r="673" spans="1:11" x14ac:dyDescent="0.25">
      <c r="A673" s="326">
        <f>A672</f>
        <v>0</v>
      </c>
      <c r="B673" s="382" t="str">
        <f>Traducción!$B$24&amp;" 98"</f>
        <v>Sem. 98</v>
      </c>
      <c r="C673" s="307">
        <f t="shared" ref="C673:E673" si="326">SUM(C666:C672)</f>
        <v>0</v>
      </c>
      <c r="D673" s="307">
        <f t="shared" si="326"/>
        <v>0</v>
      </c>
      <c r="E673" s="307">
        <f t="shared" si="326"/>
        <v>0</v>
      </c>
      <c r="F673" s="312">
        <f t="shared" ref="F673:G673" si="327">IFERROR(AVERAGE(F666:F672), )</f>
        <v>0</v>
      </c>
      <c r="G673" s="312">
        <f t="shared" si="327"/>
        <v>0</v>
      </c>
      <c r="H673" s="316">
        <f t="shared" ref="H673:I673" si="328">SUM(H666:H672)</f>
        <v>0</v>
      </c>
      <c r="I673" s="316">
        <f t="shared" si="328"/>
        <v>0</v>
      </c>
      <c r="J673" s="329">
        <f t="shared" ref="J673" si="329">IFERROR(AVERAGE(J666:J672), )</f>
        <v>0</v>
      </c>
      <c r="K673" s="224"/>
    </row>
    <row r="674" spans="1:11" x14ac:dyDescent="0.25">
      <c r="A674" s="325">
        <f>IF(Info!$J$3&gt;0,Info!$J$3+B674, )</f>
        <v>0</v>
      </c>
      <c r="B674" s="381">
        <v>687</v>
      </c>
      <c r="C674" s="308"/>
      <c r="D674" s="308"/>
      <c r="E674" s="308"/>
      <c r="F674" s="313"/>
      <c r="G674" s="313"/>
      <c r="H674" s="317"/>
      <c r="I674" s="317"/>
      <c r="J674" s="225"/>
      <c r="K674" s="208"/>
    </row>
    <row r="675" spans="1:11" x14ac:dyDescent="0.25">
      <c r="A675" s="325">
        <f>IF(Info!$J$3&gt;0,Info!$J$3+B675, )</f>
        <v>0</v>
      </c>
      <c r="B675" s="335">
        <v>688</v>
      </c>
      <c r="C675" s="299"/>
      <c r="D675" s="299"/>
      <c r="E675" s="299"/>
      <c r="F675" s="211"/>
      <c r="G675" s="211"/>
      <c r="H675" s="294"/>
      <c r="I675" s="294"/>
      <c r="J675" s="208"/>
      <c r="K675" s="208"/>
    </row>
    <row r="676" spans="1:11" x14ac:dyDescent="0.25">
      <c r="A676" s="325">
        <f>IF(Info!$J$3&gt;0,Info!$J$3+B676, )</f>
        <v>0</v>
      </c>
      <c r="B676" s="381">
        <v>689</v>
      </c>
      <c r="C676" s="299"/>
      <c r="D676" s="299"/>
      <c r="E676" s="299"/>
      <c r="F676" s="211"/>
      <c r="G676" s="211"/>
      <c r="H676" s="294"/>
      <c r="I676" s="294"/>
      <c r="J676" s="208"/>
      <c r="K676" s="208"/>
    </row>
    <row r="677" spans="1:11" x14ac:dyDescent="0.25">
      <c r="A677" s="325">
        <f>IF(Info!$J$3&gt;0,Info!$J$3+B677, )</f>
        <v>0</v>
      </c>
      <c r="B677" s="335">
        <v>690</v>
      </c>
      <c r="C677" s="299"/>
      <c r="D677" s="299"/>
      <c r="E677" s="299"/>
      <c r="F677" s="211"/>
      <c r="G677" s="211"/>
      <c r="H677" s="294"/>
      <c r="I677" s="294"/>
      <c r="J677" s="208"/>
      <c r="K677" s="208"/>
    </row>
    <row r="678" spans="1:11" x14ac:dyDescent="0.25">
      <c r="A678" s="325">
        <f>IF(Info!$J$3&gt;0,Info!$J$3+B678, )</f>
        <v>0</v>
      </c>
      <c r="B678" s="381">
        <v>691</v>
      </c>
      <c r="C678" s="299"/>
      <c r="D678" s="299"/>
      <c r="E678" s="299"/>
      <c r="F678" s="211"/>
      <c r="G678" s="211"/>
      <c r="H678" s="294"/>
      <c r="I678" s="294"/>
      <c r="J678" s="208"/>
      <c r="K678" s="208"/>
    </row>
    <row r="679" spans="1:11" x14ac:dyDescent="0.25">
      <c r="A679" s="325">
        <f>IF(Info!$J$3&gt;0,Info!$J$3+B679, )</f>
        <v>0</v>
      </c>
      <c r="B679" s="335">
        <v>692</v>
      </c>
      <c r="C679" s="299"/>
      <c r="D679" s="299"/>
      <c r="E679" s="299"/>
      <c r="F679" s="211"/>
      <c r="G679" s="211"/>
      <c r="H679" s="294"/>
      <c r="I679" s="294"/>
      <c r="J679" s="208"/>
      <c r="K679" s="208"/>
    </row>
    <row r="680" spans="1:11" x14ac:dyDescent="0.25">
      <c r="A680" s="325">
        <f>IF(Info!$J$3&gt;0,Info!$J$3+B680, )</f>
        <v>0</v>
      </c>
      <c r="B680" s="381">
        <v>693</v>
      </c>
      <c r="C680" s="299"/>
      <c r="D680" s="299"/>
      <c r="E680" s="299"/>
      <c r="F680" s="211"/>
      <c r="G680" s="211"/>
      <c r="H680" s="294"/>
      <c r="I680" s="294"/>
      <c r="J680" s="208"/>
      <c r="K680" s="208"/>
    </row>
    <row r="681" spans="1:11" x14ac:dyDescent="0.25">
      <c r="A681" s="326">
        <f>A680</f>
        <v>0</v>
      </c>
      <c r="B681" s="382" t="str">
        <f>Traducción!$B$24&amp;" 99"</f>
        <v>Sem. 99</v>
      </c>
      <c r="C681" s="307">
        <f t="shared" ref="C681:E681" si="330">SUM(C674:C680)</f>
        <v>0</v>
      </c>
      <c r="D681" s="307">
        <f t="shared" si="330"/>
        <v>0</v>
      </c>
      <c r="E681" s="307">
        <f t="shared" si="330"/>
        <v>0</v>
      </c>
      <c r="F681" s="312">
        <f t="shared" ref="F681:G681" si="331">IFERROR(AVERAGE(F674:F680), )</f>
        <v>0</v>
      </c>
      <c r="G681" s="312">
        <f t="shared" si="331"/>
        <v>0</v>
      </c>
      <c r="H681" s="316">
        <f t="shared" ref="H681:I681" si="332">SUM(H674:H680)</f>
        <v>0</v>
      </c>
      <c r="I681" s="316">
        <f t="shared" si="332"/>
        <v>0</v>
      </c>
      <c r="J681" s="329">
        <f t="shared" ref="J681" si="333">IFERROR(AVERAGE(J674:J680), )</f>
        <v>0</v>
      </c>
      <c r="K681" s="224"/>
    </row>
    <row r="682" spans="1:11" x14ac:dyDescent="0.25">
      <c r="A682" s="325">
        <f>IF(Info!$J$3&gt;0,Info!$J$3+B682, )</f>
        <v>0</v>
      </c>
      <c r="B682" s="381">
        <v>694</v>
      </c>
      <c r="C682" s="308"/>
      <c r="D682" s="308"/>
      <c r="E682" s="308"/>
      <c r="F682" s="313"/>
      <c r="G682" s="313"/>
      <c r="H682" s="317"/>
      <c r="I682" s="317"/>
      <c r="J682" s="225"/>
      <c r="K682" s="208"/>
    </row>
    <row r="683" spans="1:11" x14ac:dyDescent="0.25">
      <c r="A683" s="325">
        <f>IF(Info!$J$3&gt;0,Info!$J$3+B683, )</f>
        <v>0</v>
      </c>
      <c r="B683" s="335">
        <v>695</v>
      </c>
      <c r="C683" s="299"/>
      <c r="D683" s="299"/>
      <c r="E683" s="299"/>
      <c r="F683" s="211"/>
      <c r="G683" s="211"/>
      <c r="H683" s="294"/>
      <c r="I683" s="294"/>
      <c r="J683" s="208"/>
      <c r="K683" s="208"/>
    </row>
    <row r="684" spans="1:11" x14ac:dyDescent="0.25">
      <c r="A684" s="325">
        <f>IF(Info!$J$3&gt;0,Info!$J$3+B684, )</f>
        <v>0</v>
      </c>
      <c r="B684" s="381">
        <v>696</v>
      </c>
      <c r="C684" s="299"/>
      <c r="D684" s="299"/>
      <c r="E684" s="299"/>
      <c r="F684" s="211"/>
      <c r="G684" s="211"/>
      <c r="H684" s="294"/>
      <c r="I684" s="294"/>
      <c r="J684" s="208"/>
      <c r="K684" s="208"/>
    </row>
    <row r="685" spans="1:11" x14ac:dyDescent="0.25">
      <c r="A685" s="325">
        <f>IF(Info!$J$3&gt;0,Info!$J$3+B685, )</f>
        <v>0</v>
      </c>
      <c r="B685" s="335">
        <v>697</v>
      </c>
      <c r="C685" s="299"/>
      <c r="D685" s="299"/>
      <c r="E685" s="299"/>
      <c r="F685" s="211"/>
      <c r="G685" s="211"/>
      <c r="H685" s="294"/>
      <c r="I685" s="294"/>
      <c r="J685" s="208"/>
      <c r="K685" s="208"/>
    </row>
    <row r="686" spans="1:11" x14ac:dyDescent="0.25">
      <c r="A686" s="325">
        <f>IF(Info!$J$3&gt;0,Info!$J$3+B686, )</f>
        <v>0</v>
      </c>
      <c r="B686" s="381">
        <v>698</v>
      </c>
      <c r="C686" s="299"/>
      <c r="D686" s="299"/>
      <c r="E686" s="299"/>
      <c r="F686" s="211"/>
      <c r="G686" s="211"/>
      <c r="H686" s="294"/>
      <c r="I686" s="294"/>
      <c r="J686" s="208"/>
      <c r="K686" s="208"/>
    </row>
    <row r="687" spans="1:11" x14ac:dyDescent="0.25">
      <c r="A687" s="325">
        <f>IF(Info!$J$3&gt;0,Info!$J$3+B687, )</f>
        <v>0</v>
      </c>
      <c r="B687" s="335">
        <v>699</v>
      </c>
      <c r="C687" s="299"/>
      <c r="D687" s="299"/>
      <c r="E687" s="299"/>
      <c r="F687" s="211"/>
      <c r="G687" s="211"/>
      <c r="H687" s="294"/>
      <c r="I687" s="294"/>
      <c r="J687" s="208"/>
      <c r="K687" s="208"/>
    </row>
    <row r="688" spans="1:11" x14ac:dyDescent="0.25">
      <c r="A688" s="325">
        <f>IF(Info!$J$3&gt;0,Info!$J$3+B688, )</f>
        <v>0</v>
      </c>
      <c r="B688" s="381">
        <v>700</v>
      </c>
      <c r="C688" s="299"/>
      <c r="D688" s="299"/>
      <c r="E688" s="299"/>
      <c r="F688" s="211"/>
      <c r="G688" s="211"/>
      <c r="H688" s="294"/>
      <c r="I688" s="294"/>
      <c r="J688" s="208"/>
      <c r="K688" s="208"/>
    </row>
    <row r="689" spans="1:11" x14ac:dyDescent="0.25">
      <c r="A689" s="326">
        <f>A688</f>
        <v>0</v>
      </c>
      <c r="B689" s="382" t="str">
        <f>Traducción!$B$24&amp;" 100"</f>
        <v>Sem. 100</v>
      </c>
      <c r="C689" s="307">
        <f t="shared" ref="C689:E689" si="334">SUM(C682:C688)</f>
        <v>0</v>
      </c>
      <c r="D689" s="307">
        <f t="shared" si="334"/>
        <v>0</v>
      </c>
      <c r="E689" s="307">
        <f t="shared" si="334"/>
        <v>0</v>
      </c>
      <c r="F689" s="312">
        <f t="shared" ref="F689:G689" si="335">IFERROR(AVERAGE(F682:F688), )</f>
        <v>0</v>
      </c>
      <c r="G689" s="312">
        <f t="shared" si="335"/>
        <v>0</v>
      </c>
      <c r="H689" s="316">
        <f t="shared" ref="H689:I689" si="336">SUM(H682:H688)</f>
        <v>0</v>
      </c>
      <c r="I689" s="316">
        <f t="shared" si="336"/>
        <v>0</v>
      </c>
      <c r="J689" s="329">
        <f t="shared" ref="J689" si="337">IFERROR(AVERAGE(J682:J688), )</f>
        <v>0</v>
      </c>
      <c r="K689" s="224"/>
    </row>
    <row r="690" spans="1:11" x14ac:dyDescent="0.25">
      <c r="A690" s="325">
        <f>IF(Info!$J$3&gt;0,Info!$J$3+B690, )</f>
        <v>0</v>
      </c>
      <c r="B690" s="381">
        <v>701</v>
      </c>
      <c r="C690" s="308"/>
      <c r="D690" s="308"/>
      <c r="E690" s="308"/>
      <c r="F690" s="313"/>
      <c r="G690" s="313"/>
      <c r="H690" s="317"/>
      <c r="I690" s="317"/>
      <c r="J690" s="225"/>
      <c r="K690" s="208"/>
    </row>
    <row r="691" spans="1:11" x14ac:dyDescent="0.25">
      <c r="A691" s="325">
        <f>IF(Info!$J$3&gt;0,Info!$J$3+B691, )</f>
        <v>0</v>
      </c>
      <c r="B691" s="335">
        <v>702</v>
      </c>
      <c r="C691" s="299"/>
      <c r="D691" s="299"/>
      <c r="E691" s="299"/>
      <c r="F691" s="211"/>
      <c r="G691" s="211"/>
      <c r="H691" s="294"/>
      <c r="I691" s="294"/>
      <c r="J691" s="208"/>
      <c r="K691" s="208"/>
    </row>
    <row r="692" spans="1:11" x14ac:dyDescent="0.25">
      <c r="A692" s="325">
        <f>IF(Info!$J$3&gt;0,Info!$J$3+B692, )</f>
        <v>0</v>
      </c>
      <c r="B692" s="381">
        <v>703</v>
      </c>
      <c r="C692" s="299"/>
      <c r="D692" s="299"/>
      <c r="E692" s="299"/>
      <c r="F692" s="211"/>
      <c r="G692" s="211"/>
      <c r="H692" s="294"/>
      <c r="I692" s="294"/>
      <c r="J692" s="208"/>
      <c r="K692" s="208"/>
    </row>
    <row r="693" spans="1:11" x14ac:dyDescent="0.25">
      <c r="A693" s="325">
        <f>IF(Info!$J$3&gt;0,Info!$J$3+B693, )</f>
        <v>0</v>
      </c>
      <c r="B693" s="335">
        <v>704</v>
      </c>
      <c r="C693" s="299"/>
      <c r="D693" s="299"/>
      <c r="E693" s="299"/>
      <c r="F693" s="211"/>
      <c r="G693" s="211"/>
      <c r="H693" s="294"/>
      <c r="I693" s="294"/>
      <c r="J693" s="208"/>
      <c r="K693" s="208"/>
    </row>
    <row r="694" spans="1:11" x14ac:dyDescent="0.25">
      <c r="A694" s="325">
        <f>IF(Info!$J$3&gt;0,Info!$J$3+B694, )</f>
        <v>0</v>
      </c>
      <c r="B694" s="381">
        <v>705</v>
      </c>
      <c r="C694" s="299"/>
      <c r="D694" s="299"/>
      <c r="E694" s="299"/>
      <c r="F694" s="211"/>
      <c r="G694" s="211"/>
      <c r="H694" s="294"/>
      <c r="I694" s="294"/>
      <c r="J694" s="208"/>
      <c r="K694" s="208"/>
    </row>
    <row r="695" spans="1:11" x14ac:dyDescent="0.25">
      <c r="A695" s="325">
        <f>IF(Info!$J$3&gt;0,Info!$J$3+B695, )</f>
        <v>0</v>
      </c>
      <c r="B695" s="335">
        <v>706</v>
      </c>
      <c r="C695" s="299"/>
      <c r="D695" s="299"/>
      <c r="E695" s="299"/>
      <c r="F695" s="211"/>
      <c r="G695" s="211"/>
      <c r="H695" s="294"/>
      <c r="I695" s="294"/>
      <c r="J695" s="208"/>
      <c r="K695" s="208"/>
    </row>
    <row r="696" spans="1:11" x14ac:dyDescent="0.25">
      <c r="A696" s="325">
        <f>IF(Info!$J$3&gt;0,Info!$J$3+B696, )</f>
        <v>0</v>
      </c>
      <c r="B696" s="381">
        <v>707</v>
      </c>
      <c r="C696" s="299"/>
      <c r="D696" s="299"/>
      <c r="E696" s="299"/>
      <c r="F696" s="211"/>
      <c r="G696" s="211"/>
      <c r="H696" s="294"/>
      <c r="I696" s="294"/>
      <c r="J696" s="208"/>
      <c r="K696" s="208"/>
    </row>
    <row r="697" spans="1:11" x14ac:dyDescent="0.25">
      <c r="A697" s="326">
        <f>A696</f>
        <v>0</v>
      </c>
      <c r="B697" s="382" t="str">
        <f>Traducción!$B$24&amp;" 101"</f>
        <v>Sem. 101</v>
      </c>
      <c r="C697" s="307">
        <f t="shared" ref="C697:E697" si="338">SUM(C690:C696)</f>
        <v>0</v>
      </c>
      <c r="D697" s="307">
        <f t="shared" si="338"/>
        <v>0</v>
      </c>
      <c r="E697" s="307">
        <f t="shared" si="338"/>
        <v>0</v>
      </c>
      <c r="F697" s="312">
        <f t="shared" ref="F697:G697" si="339">IFERROR(AVERAGE(F690:F696), )</f>
        <v>0</v>
      </c>
      <c r="G697" s="312">
        <f t="shared" si="339"/>
        <v>0</v>
      </c>
      <c r="H697" s="316">
        <f t="shared" ref="H697:I697" si="340">SUM(H690:H696)</f>
        <v>0</v>
      </c>
      <c r="I697" s="316">
        <f t="shared" si="340"/>
        <v>0</v>
      </c>
      <c r="J697" s="329">
        <f t="shared" ref="J697" si="341">IFERROR(AVERAGE(J690:J696), )</f>
        <v>0</v>
      </c>
      <c r="K697" s="224"/>
    </row>
    <row r="698" spans="1:11" x14ac:dyDescent="0.25">
      <c r="A698" s="325">
        <f>IF(Info!$J$3&gt;0,Info!$J$3+B698, )</f>
        <v>0</v>
      </c>
      <c r="B698" s="381">
        <v>708</v>
      </c>
      <c r="C698" s="308"/>
      <c r="D698" s="308"/>
      <c r="E698" s="308"/>
      <c r="F698" s="313"/>
      <c r="G698" s="313"/>
      <c r="H698" s="317"/>
      <c r="I698" s="317"/>
      <c r="J698" s="225"/>
      <c r="K698" s="208"/>
    </row>
    <row r="699" spans="1:11" x14ac:dyDescent="0.25">
      <c r="A699" s="325">
        <f>IF(Info!$J$3&gt;0,Info!$J$3+B699, )</f>
        <v>0</v>
      </c>
      <c r="B699" s="335">
        <v>709</v>
      </c>
      <c r="C699" s="299"/>
      <c r="D699" s="299"/>
      <c r="E699" s="299"/>
      <c r="F699" s="211"/>
      <c r="G699" s="211"/>
      <c r="H699" s="294"/>
      <c r="I699" s="294"/>
      <c r="J699" s="208"/>
      <c r="K699" s="208"/>
    </row>
    <row r="700" spans="1:11" x14ac:dyDescent="0.25">
      <c r="A700" s="325">
        <f>IF(Info!$J$3&gt;0,Info!$J$3+B700, )</f>
        <v>0</v>
      </c>
      <c r="B700" s="381">
        <v>710</v>
      </c>
      <c r="C700" s="299"/>
      <c r="D700" s="299"/>
      <c r="E700" s="299"/>
      <c r="F700" s="211"/>
      <c r="G700" s="211"/>
      <c r="H700" s="294"/>
      <c r="I700" s="294"/>
      <c r="J700" s="208"/>
      <c r="K700" s="208"/>
    </row>
    <row r="701" spans="1:11" x14ac:dyDescent="0.25">
      <c r="A701" s="325">
        <f>IF(Info!$J$3&gt;0,Info!$J$3+B701, )</f>
        <v>0</v>
      </c>
      <c r="B701" s="335">
        <v>711</v>
      </c>
      <c r="C701" s="299"/>
      <c r="D701" s="299"/>
      <c r="E701" s="299"/>
      <c r="F701" s="211"/>
      <c r="G701" s="211"/>
      <c r="H701" s="294"/>
      <c r="I701" s="294"/>
      <c r="J701" s="208"/>
      <c r="K701" s="208"/>
    </row>
    <row r="702" spans="1:11" x14ac:dyDescent="0.25">
      <c r="A702" s="325">
        <f>IF(Info!$J$3&gt;0,Info!$J$3+B702, )</f>
        <v>0</v>
      </c>
      <c r="B702" s="381">
        <v>712</v>
      </c>
      <c r="C702" s="299"/>
      <c r="D702" s="299"/>
      <c r="E702" s="299"/>
      <c r="F702" s="211"/>
      <c r="G702" s="211"/>
      <c r="H702" s="294"/>
      <c r="I702" s="294"/>
      <c r="J702" s="208"/>
      <c r="K702" s="208"/>
    </row>
    <row r="703" spans="1:11" x14ac:dyDescent="0.25">
      <c r="A703" s="325">
        <f>IF(Info!$J$3&gt;0,Info!$J$3+B703, )</f>
        <v>0</v>
      </c>
      <c r="B703" s="335">
        <v>713</v>
      </c>
      <c r="C703" s="299"/>
      <c r="D703" s="299"/>
      <c r="E703" s="299"/>
      <c r="F703" s="211"/>
      <c r="G703" s="211"/>
      <c r="H703" s="294"/>
      <c r="I703" s="294"/>
      <c r="J703" s="208"/>
      <c r="K703" s="208"/>
    </row>
    <row r="704" spans="1:11" x14ac:dyDescent="0.25">
      <c r="A704" s="325">
        <f>IF(Info!$J$3&gt;0,Info!$J$3+B704, )</f>
        <v>0</v>
      </c>
      <c r="B704" s="381">
        <v>714</v>
      </c>
      <c r="C704" s="299"/>
      <c r="D704" s="299"/>
      <c r="E704" s="299"/>
      <c r="F704" s="211"/>
      <c r="G704" s="211"/>
      <c r="H704" s="294"/>
      <c r="I704" s="294"/>
      <c r="J704" s="208"/>
      <c r="K704" s="208"/>
    </row>
    <row r="705" spans="1:11" x14ac:dyDescent="0.25">
      <c r="A705" s="326">
        <f>A704</f>
        <v>0</v>
      </c>
      <c r="B705" s="382" t="str">
        <f>Traducción!$B$24&amp;" 102"</f>
        <v>Sem. 102</v>
      </c>
      <c r="C705" s="307">
        <f t="shared" ref="C705:E705" si="342">SUM(C698:C704)</f>
        <v>0</v>
      </c>
      <c r="D705" s="307">
        <f t="shared" si="342"/>
        <v>0</v>
      </c>
      <c r="E705" s="307">
        <f t="shared" si="342"/>
        <v>0</v>
      </c>
      <c r="F705" s="312">
        <f t="shared" ref="F705:G705" si="343">IFERROR(AVERAGE(F698:F704), )</f>
        <v>0</v>
      </c>
      <c r="G705" s="312">
        <f t="shared" si="343"/>
        <v>0</v>
      </c>
      <c r="H705" s="316">
        <f t="shared" ref="H705:I705" si="344">SUM(H698:H704)</f>
        <v>0</v>
      </c>
      <c r="I705" s="316">
        <f t="shared" si="344"/>
        <v>0</v>
      </c>
      <c r="J705" s="329">
        <f t="shared" ref="J705" si="345">IFERROR(AVERAGE(J698:J704), )</f>
        <v>0</v>
      </c>
      <c r="K705" s="224"/>
    </row>
    <row r="706" spans="1:11" x14ac:dyDescent="0.25">
      <c r="A706" s="325">
        <f>IF(Info!$J$3&gt;0,Info!$J$3+B706, )</f>
        <v>0</v>
      </c>
      <c r="B706" s="381">
        <v>715</v>
      </c>
      <c r="C706" s="308"/>
      <c r="D706" s="308"/>
      <c r="E706" s="308"/>
      <c r="F706" s="313"/>
      <c r="G706" s="313"/>
      <c r="H706" s="317"/>
      <c r="I706" s="317"/>
      <c r="J706" s="225"/>
      <c r="K706" s="208"/>
    </row>
    <row r="707" spans="1:11" x14ac:dyDescent="0.25">
      <c r="A707" s="325">
        <f>IF(Info!$J$3&gt;0,Info!$J$3+B707, )</f>
        <v>0</v>
      </c>
      <c r="B707" s="335">
        <v>716</v>
      </c>
      <c r="C707" s="299"/>
      <c r="D707" s="299"/>
      <c r="E707" s="299"/>
      <c r="F707" s="211"/>
      <c r="G707" s="211"/>
      <c r="H707" s="294"/>
      <c r="I707" s="294"/>
      <c r="J707" s="208"/>
      <c r="K707" s="208"/>
    </row>
    <row r="708" spans="1:11" x14ac:dyDescent="0.25">
      <c r="A708" s="325">
        <f>IF(Info!$J$3&gt;0,Info!$J$3+B708, )</f>
        <v>0</v>
      </c>
      <c r="B708" s="381">
        <v>717</v>
      </c>
      <c r="C708" s="299"/>
      <c r="D708" s="299"/>
      <c r="E708" s="299"/>
      <c r="F708" s="211"/>
      <c r="G708" s="211"/>
      <c r="H708" s="294"/>
      <c r="I708" s="294"/>
      <c r="J708" s="208"/>
      <c r="K708" s="208"/>
    </row>
    <row r="709" spans="1:11" x14ac:dyDescent="0.25">
      <c r="A709" s="325">
        <f>IF(Info!$J$3&gt;0,Info!$J$3+B709, )</f>
        <v>0</v>
      </c>
      <c r="B709" s="335">
        <v>718</v>
      </c>
      <c r="C709" s="299"/>
      <c r="D709" s="299"/>
      <c r="E709" s="299"/>
      <c r="F709" s="211"/>
      <c r="G709" s="211"/>
      <c r="H709" s="294"/>
      <c r="I709" s="294"/>
      <c r="J709" s="208"/>
      <c r="K709" s="208"/>
    </row>
    <row r="710" spans="1:11" x14ac:dyDescent="0.25">
      <c r="A710" s="325">
        <f>IF(Info!$J$3&gt;0,Info!$J$3+B710, )</f>
        <v>0</v>
      </c>
      <c r="B710" s="381">
        <v>719</v>
      </c>
      <c r="C710" s="299"/>
      <c r="D710" s="299"/>
      <c r="E710" s="299"/>
      <c r="F710" s="211"/>
      <c r="G710" s="211"/>
      <c r="H710" s="294"/>
      <c r="I710" s="294"/>
      <c r="J710" s="208"/>
      <c r="K710" s="208"/>
    </row>
    <row r="711" spans="1:11" x14ac:dyDescent="0.25">
      <c r="A711" s="325">
        <f>IF(Info!$J$3&gt;0,Info!$J$3+B711, )</f>
        <v>0</v>
      </c>
      <c r="B711" s="335">
        <v>720</v>
      </c>
      <c r="C711" s="299"/>
      <c r="D711" s="299"/>
      <c r="E711" s="299"/>
      <c r="F711" s="211"/>
      <c r="G711" s="211"/>
      <c r="H711" s="294"/>
      <c r="I711" s="294"/>
      <c r="J711" s="208"/>
      <c r="K711" s="208"/>
    </row>
    <row r="712" spans="1:11" x14ac:dyDescent="0.25">
      <c r="A712" s="325">
        <f>IF(Info!$J$3&gt;0,Info!$J$3+B712, )</f>
        <v>0</v>
      </c>
      <c r="B712" s="381">
        <v>721</v>
      </c>
      <c r="C712" s="299"/>
      <c r="D712" s="299"/>
      <c r="E712" s="299"/>
      <c r="F712" s="211"/>
      <c r="G712" s="211"/>
      <c r="H712" s="294"/>
      <c r="I712" s="294"/>
      <c r="J712" s="208"/>
      <c r="K712" s="208"/>
    </row>
    <row r="713" spans="1:11" x14ac:dyDescent="0.25">
      <c r="A713" s="326">
        <f>A712</f>
        <v>0</v>
      </c>
      <c r="B713" s="382" t="str">
        <f>Traducción!$B$24&amp;" 103"</f>
        <v>Sem. 103</v>
      </c>
      <c r="C713" s="307">
        <f t="shared" ref="C713:E713" si="346">SUM(C706:C712)</f>
        <v>0</v>
      </c>
      <c r="D713" s="307">
        <f t="shared" si="346"/>
        <v>0</v>
      </c>
      <c r="E713" s="307">
        <f t="shared" si="346"/>
        <v>0</v>
      </c>
      <c r="F713" s="312">
        <f t="shared" ref="F713:G713" si="347">IFERROR(AVERAGE(F706:F712), )</f>
        <v>0</v>
      </c>
      <c r="G713" s="312">
        <f t="shared" si="347"/>
        <v>0</v>
      </c>
      <c r="H713" s="316">
        <f t="shared" ref="H713:I713" si="348">SUM(H706:H712)</f>
        <v>0</v>
      </c>
      <c r="I713" s="316">
        <f t="shared" si="348"/>
        <v>0</v>
      </c>
      <c r="J713" s="329">
        <f t="shared" ref="J713" si="349">IFERROR(AVERAGE(J706:J712), )</f>
        <v>0</v>
      </c>
      <c r="K713" s="224"/>
    </row>
    <row r="714" spans="1:11" x14ac:dyDescent="0.25">
      <c r="A714" s="325">
        <f>IF(Info!$J$3&gt;0,Info!$J$3+B714, )</f>
        <v>0</v>
      </c>
      <c r="B714" s="381">
        <v>722</v>
      </c>
      <c r="C714" s="308"/>
      <c r="D714" s="308"/>
      <c r="E714" s="308"/>
      <c r="F714" s="313"/>
      <c r="G714" s="313"/>
      <c r="H714" s="317"/>
      <c r="I714" s="317"/>
      <c r="J714" s="225"/>
      <c r="K714" s="208"/>
    </row>
    <row r="715" spans="1:11" x14ac:dyDescent="0.25">
      <c r="A715" s="325">
        <f>IF(Info!$J$3&gt;0,Info!$J$3+B715, )</f>
        <v>0</v>
      </c>
      <c r="B715" s="335">
        <v>723</v>
      </c>
      <c r="C715" s="299"/>
      <c r="D715" s="299"/>
      <c r="E715" s="299"/>
      <c r="F715" s="211"/>
      <c r="G715" s="211"/>
      <c r="H715" s="294"/>
      <c r="I715" s="294"/>
      <c r="J715" s="208"/>
      <c r="K715" s="208"/>
    </row>
    <row r="716" spans="1:11" x14ac:dyDescent="0.25">
      <c r="A716" s="325">
        <f>IF(Info!$J$3&gt;0,Info!$J$3+B716, )</f>
        <v>0</v>
      </c>
      <c r="B716" s="381">
        <v>724</v>
      </c>
      <c r="C716" s="299"/>
      <c r="D716" s="299"/>
      <c r="E716" s="299"/>
      <c r="F716" s="211"/>
      <c r="G716" s="211"/>
      <c r="H716" s="294"/>
      <c r="I716" s="294"/>
      <c r="J716" s="208"/>
      <c r="K716" s="208"/>
    </row>
    <row r="717" spans="1:11" x14ac:dyDescent="0.25">
      <c r="A717" s="325">
        <f>IF(Info!$J$3&gt;0,Info!$J$3+B717, )</f>
        <v>0</v>
      </c>
      <c r="B717" s="335">
        <v>725</v>
      </c>
      <c r="C717" s="299"/>
      <c r="D717" s="299"/>
      <c r="E717" s="299"/>
      <c r="F717" s="211"/>
      <c r="G717" s="211"/>
      <c r="H717" s="294"/>
      <c r="I717" s="294"/>
      <c r="J717" s="208"/>
      <c r="K717" s="208"/>
    </row>
    <row r="718" spans="1:11" x14ac:dyDescent="0.25">
      <c r="A718" s="325">
        <f>IF(Info!$J$3&gt;0,Info!$J$3+B718, )</f>
        <v>0</v>
      </c>
      <c r="B718" s="381">
        <v>726</v>
      </c>
      <c r="C718" s="299"/>
      <c r="D718" s="299"/>
      <c r="E718" s="299"/>
      <c r="F718" s="211"/>
      <c r="G718" s="211"/>
      <c r="H718" s="294"/>
      <c r="I718" s="294"/>
      <c r="J718" s="208"/>
      <c r="K718" s="208"/>
    </row>
    <row r="719" spans="1:11" x14ac:dyDescent="0.25">
      <c r="A719" s="325">
        <f>IF(Info!$J$3&gt;0,Info!$J$3+B719, )</f>
        <v>0</v>
      </c>
      <c r="B719" s="335">
        <v>727</v>
      </c>
      <c r="C719" s="299"/>
      <c r="D719" s="299"/>
      <c r="E719" s="299"/>
      <c r="F719" s="211"/>
      <c r="G719" s="211"/>
      <c r="H719" s="294"/>
      <c r="I719" s="294"/>
      <c r="J719" s="208"/>
      <c r="K719" s="208"/>
    </row>
    <row r="720" spans="1:11" x14ac:dyDescent="0.25">
      <c r="A720" s="325">
        <f>IF(Info!$J$3&gt;0,Info!$J$3+B720, )</f>
        <v>0</v>
      </c>
      <c r="B720" s="381">
        <v>728</v>
      </c>
      <c r="C720" s="299"/>
      <c r="D720" s="299"/>
      <c r="E720" s="299"/>
      <c r="F720" s="211"/>
      <c r="G720" s="211"/>
      <c r="H720" s="294"/>
      <c r="I720" s="294"/>
      <c r="J720" s="208"/>
      <c r="K720" s="208"/>
    </row>
    <row r="721" spans="1:11" x14ac:dyDescent="0.25">
      <c r="A721" s="326">
        <f>A720</f>
        <v>0</v>
      </c>
      <c r="B721" s="382" t="str">
        <f>Traducción!$B$24&amp;" 104"</f>
        <v>Sem. 104</v>
      </c>
      <c r="C721" s="307">
        <f t="shared" ref="C721:E721" si="350">SUM(C714:C720)</f>
        <v>0</v>
      </c>
      <c r="D721" s="307">
        <f t="shared" si="350"/>
        <v>0</v>
      </c>
      <c r="E721" s="307">
        <f t="shared" si="350"/>
        <v>0</v>
      </c>
      <c r="F721" s="312">
        <f t="shared" ref="F721:G721" si="351">IFERROR(AVERAGE(F714:F720), )</f>
        <v>0</v>
      </c>
      <c r="G721" s="312">
        <f t="shared" si="351"/>
        <v>0</v>
      </c>
      <c r="H721" s="316">
        <f t="shared" ref="H721:I721" si="352">SUM(H714:H720)</f>
        <v>0</v>
      </c>
      <c r="I721" s="316">
        <f t="shared" si="352"/>
        <v>0</v>
      </c>
      <c r="J721" s="329">
        <f t="shared" ref="J721" si="353">IFERROR(AVERAGE(J714:J720), )</f>
        <v>0</v>
      </c>
      <c r="K721" s="224"/>
    </row>
    <row r="722" spans="1:11" x14ac:dyDescent="0.25">
      <c r="A722" s="325">
        <f>IF(Info!$J$3&gt;0,Info!$J$3+B722, )</f>
        <v>0</v>
      </c>
      <c r="B722" s="381">
        <v>729</v>
      </c>
      <c r="C722" s="308"/>
      <c r="D722" s="308"/>
      <c r="E722" s="308"/>
      <c r="F722" s="313"/>
      <c r="G722" s="313"/>
      <c r="H722" s="317"/>
      <c r="I722" s="317"/>
      <c r="J722" s="225"/>
      <c r="K722" s="208"/>
    </row>
    <row r="723" spans="1:11" x14ac:dyDescent="0.25">
      <c r="A723" s="325">
        <f>IF(Info!$J$3&gt;0,Info!$J$3+B723, )</f>
        <v>0</v>
      </c>
      <c r="B723" s="335">
        <v>730</v>
      </c>
      <c r="C723" s="299"/>
      <c r="D723" s="299"/>
      <c r="E723" s="299"/>
      <c r="F723" s="211"/>
      <c r="G723" s="211"/>
      <c r="H723" s="294"/>
      <c r="I723" s="294"/>
      <c r="J723" s="208"/>
      <c r="K723" s="208"/>
    </row>
    <row r="724" spans="1:11" x14ac:dyDescent="0.25">
      <c r="A724" s="325">
        <f>IF(Info!$J$3&gt;0,Info!$J$3+B724, )</f>
        <v>0</v>
      </c>
      <c r="B724" s="381">
        <v>731</v>
      </c>
      <c r="C724" s="299"/>
      <c r="D724" s="299"/>
      <c r="E724" s="299"/>
      <c r="F724" s="211"/>
      <c r="G724" s="211"/>
      <c r="H724" s="294"/>
      <c r="I724" s="294"/>
      <c r="J724" s="208"/>
      <c r="K724" s="208"/>
    </row>
    <row r="725" spans="1:11" x14ac:dyDescent="0.25">
      <c r="A725" s="325">
        <f>IF(Info!$J$3&gt;0,Info!$J$3+B725, )</f>
        <v>0</v>
      </c>
      <c r="B725" s="335">
        <v>732</v>
      </c>
      <c r="C725" s="299"/>
      <c r="D725" s="299"/>
      <c r="E725" s="299"/>
      <c r="F725" s="211"/>
      <c r="G725" s="211"/>
      <c r="H725" s="294"/>
      <c r="I725" s="294"/>
      <c r="J725" s="208"/>
      <c r="K725" s="208"/>
    </row>
    <row r="726" spans="1:11" x14ac:dyDescent="0.25">
      <c r="A726" s="325">
        <f>IF(Info!$J$3&gt;0,Info!$J$3+B726, )</f>
        <v>0</v>
      </c>
      <c r="B726" s="381">
        <v>733</v>
      </c>
      <c r="C726" s="299"/>
      <c r="D726" s="299"/>
      <c r="E726" s="299"/>
      <c r="F726" s="211"/>
      <c r="G726" s="211"/>
      <c r="H726" s="294"/>
      <c r="I726" s="294"/>
      <c r="J726" s="208"/>
      <c r="K726" s="208"/>
    </row>
    <row r="727" spans="1:11" x14ac:dyDescent="0.25">
      <c r="A727" s="325">
        <f>IF(Info!$J$3&gt;0,Info!$J$3+B727, )</f>
        <v>0</v>
      </c>
      <c r="B727" s="335">
        <v>734</v>
      </c>
      <c r="C727" s="299"/>
      <c r="D727" s="299"/>
      <c r="E727" s="299"/>
      <c r="F727" s="211"/>
      <c r="G727" s="211"/>
      <c r="H727" s="294"/>
      <c r="I727" s="294"/>
      <c r="J727" s="208"/>
      <c r="K727" s="208"/>
    </row>
    <row r="728" spans="1:11" x14ac:dyDescent="0.25">
      <c r="A728" s="325">
        <f>IF(Info!$J$3&gt;0,Info!$J$3+B728, )</f>
        <v>0</v>
      </c>
      <c r="B728" s="381">
        <v>735</v>
      </c>
      <c r="C728" s="299"/>
      <c r="D728" s="299"/>
      <c r="E728" s="299"/>
      <c r="F728" s="211"/>
      <c r="G728" s="211"/>
      <c r="H728" s="294"/>
      <c r="I728" s="294"/>
      <c r="J728" s="208"/>
      <c r="K728" s="208"/>
    </row>
    <row r="729" spans="1:11" x14ac:dyDescent="0.25">
      <c r="A729" s="326">
        <f>A728</f>
        <v>0</v>
      </c>
      <c r="B729" s="382" t="str">
        <f>Traducción!$B$24&amp;" 105"</f>
        <v>Sem. 105</v>
      </c>
      <c r="C729" s="307">
        <f t="shared" ref="C729:E729" si="354">SUM(C722:C728)</f>
        <v>0</v>
      </c>
      <c r="D729" s="307">
        <f t="shared" si="354"/>
        <v>0</v>
      </c>
      <c r="E729" s="307">
        <f t="shared" si="354"/>
        <v>0</v>
      </c>
      <c r="F729" s="312">
        <f t="shared" ref="F729:G729" si="355">IFERROR(AVERAGE(F722:F728), )</f>
        <v>0</v>
      </c>
      <c r="G729" s="312">
        <f t="shared" si="355"/>
        <v>0</v>
      </c>
      <c r="H729" s="316">
        <f t="shared" ref="H729:I729" si="356">SUM(H722:H728)</f>
        <v>0</v>
      </c>
      <c r="I729" s="316">
        <f t="shared" si="356"/>
        <v>0</v>
      </c>
      <c r="J729" s="329">
        <f t="shared" ref="J729" si="357">IFERROR(AVERAGE(J722:J728), )</f>
        <v>0</v>
      </c>
      <c r="K729" s="224"/>
    </row>
    <row r="730" spans="1:11" x14ac:dyDescent="0.25">
      <c r="A730" s="325">
        <f>IF(Info!$J$3&gt;0,Info!$J$3+B730, )</f>
        <v>0</v>
      </c>
      <c r="B730" s="381">
        <v>736</v>
      </c>
      <c r="C730" s="308"/>
      <c r="D730" s="308"/>
      <c r="E730" s="308"/>
      <c r="F730" s="313"/>
      <c r="G730" s="313"/>
      <c r="H730" s="317"/>
      <c r="I730" s="317"/>
      <c r="J730" s="225"/>
      <c r="K730" s="208"/>
    </row>
    <row r="731" spans="1:11" x14ac:dyDescent="0.25">
      <c r="A731" s="325">
        <f>IF(Info!$J$3&gt;0,Info!$J$3+B731, )</f>
        <v>0</v>
      </c>
      <c r="B731" s="335">
        <v>737</v>
      </c>
      <c r="C731" s="299"/>
      <c r="D731" s="299"/>
      <c r="E731" s="299"/>
      <c r="F731" s="211"/>
      <c r="G731" s="211"/>
      <c r="H731" s="294"/>
      <c r="I731" s="294"/>
      <c r="J731" s="208"/>
      <c r="K731" s="208"/>
    </row>
    <row r="732" spans="1:11" x14ac:dyDescent="0.25">
      <c r="A732" s="325">
        <f>IF(Info!$J$3&gt;0,Info!$J$3+B732, )</f>
        <v>0</v>
      </c>
      <c r="B732" s="381">
        <v>738</v>
      </c>
      <c r="C732" s="299"/>
      <c r="D732" s="299"/>
      <c r="E732" s="299"/>
      <c r="F732" s="211"/>
      <c r="G732" s="211"/>
      <c r="H732" s="294"/>
      <c r="I732" s="294"/>
      <c r="J732" s="208"/>
      <c r="K732" s="208"/>
    </row>
    <row r="733" spans="1:11" x14ac:dyDescent="0.25">
      <c r="A733" s="325">
        <f>IF(Info!$J$3&gt;0,Info!$J$3+B733, )</f>
        <v>0</v>
      </c>
      <c r="B733" s="335">
        <v>739</v>
      </c>
      <c r="C733" s="299"/>
      <c r="D733" s="299"/>
      <c r="E733" s="299"/>
      <c r="F733" s="211"/>
      <c r="G733" s="211"/>
      <c r="H733" s="294"/>
      <c r="I733" s="294"/>
      <c r="J733" s="208"/>
      <c r="K733" s="208"/>
    </row>
    <row r="734" spans="1:11" x14ac:dyDescent="0.25">
      <c r="A734" s="325">
        <f>IF(Info!$J$3&gt;0,Info!$J$3+B734, )</f>
        <v>0</v>
      </c>
      <c r="B734" s="381">
        <v>740</v>
      </c>
      <c r="C734" s="299"/>
      <c r="D734" s="299"/>
      <c r="E734" s="299"/>
      <c r="F734" s="211"/>
      <c r="G734" s="211"/>
      <c r="H734" s="294"/>
      <c r="I734" s="294"/>
      <c r="J734" s="208"/>
      <c r="K734" s="208"/>
    </row>
    <row r="735" spans="1:11" x14ac:dyDescent="0.25">
      <c r="A735" s="325">
        <f>IF(Info!$J$3&gt;0,Info!$J$3+B735, )</f>
        <v>0</v>
      </c>
      <c r="B735" s="335">
        <v>741</v>
      </c>
      <c r="C735" s="299"/>
      <c r="D735" s="299"/>
      <c r="E735" s="299"/>
      <c r="F735" s="211"/>
      <c r="G735" s="211"/>
      <c r="H735" s="294"/>
      <c r="I735" s="294"/>
      <c r="J735" s="208"/>
      <c r="K735" s="208"/>
    </row>
    <row r="736" spans="1:11" x14ac:dyDescent="0.25">
      <c r="A736" s="325">
        <f>IF(Info!$J$3&gt;0,Info!$J$3+B736, )</f>
        <v>0</v>
      </c>
      <c r="B736" s="381">
        <v>742</v>
      </c>
      <c r="C736" s="299"/>
      <c r="D736" s="299"/>
      <c r="E736" s="299"/>
      <c r="F736" s="211"/>
      <c r="G736" s="211"/>
      <c r="H736" s="294"/>
      <c r="I736" s="294"/>
      <c r="J736" s="208"/>
      <c r="K736" s="208"/>
    </row>
    <row r="737" spans="1:11" x14ac:dyDescent="0.25">
      <c r="A737" s="326">
        <f>A736</f>
        <v>0</v>
      </c>
      <c r="B737" s="382" t="str">
        <f>Traducción!$B$24&amp;" 106"</f>
        <v>Sem. 106</v>
      </c>
      <c r="C737" s="307">
        <f t="shared" ref="C737:E737" si="358">SUM(C730:C736)</f>
        <v>0</v>
      </c>
      <c r="D737" s="307">
        <f t="shared" si="358"/>
        <v>0</v>
      </c>
      <c r="E737" s="307">
        <f t="shared" si="358"/>
        <v>0</v>
      </c>
      <c r="F737" s="312">
        <f t="shared" ref="F737:G737" si="359">IFERROR(AVERAGE(F730:F736), )</f>
        <v>0</v>
      </c>
      <c r="G737" s="312">
        <f t="shared" si="359"/>
        <v>0</v>
      </c>
      <c r="H737" s="316">
        <f t="shared" ref="H737:I737" si="360">SUM(H730:H736)</f>
        <v>0</v>
      </c>
      <c r="I737" s="316">
        <f t="shared" si="360"/>
        <v>0</v>
      </c>
      <c r="J737" s="329">
        <f t="shared" ref="J737" si="361">IFERROR(AVERAGE(J730:J736), )</f>
        <v>0</v>
      </c>
      <c r="K737" s="224"/>
    </row>
    <row r="738" spans="1:11" x14ac:dyDescent="0.25">
      <c r="A738" s="325">
        <f>IF(Info!$J$3&gt;0,Info!$J$3+B738, )</f>
        <v>0</v>
      </c>
      <c r="B738" s="381">
        <v>743</v>
      </c>
      <c r="C738" s="308"/>
      <c r="D738" s="308"/>
      <c r="E738" s="308"/>
      <c r="F738" s="313"/>
      <c r="G738" s="313"/>
      <c r="H738" s="317"/>
      <c r="I738" s="317"/>
      <c r="J738" s="225"/>
      <c r="K738" s="208"/>
    </row>
    <row r="739" spans="1:11" x14ac:dyDescent="0.25">
      <c r="A739" s="325">
        <f>IF(Info!$J$3&gt;0,Info!$J$3+B739, )</f>
        <v>0</v>
      </c>
      <c r="B739" s="335">
        <v>744</v>
      </c>
      <c r="C739" s="299"/>
      <c r="D739" s="299"/>
      <c r="E739" s="299"/>
      <c r="F739" s="211"/>
      <c r="G739" s="211"/>
      <c r="H739" s="294"/>
      <c r="I739" s="294"/>
      <c r="J739" s="208"/>
      <c r="K739" s="208"/>
    </row>
    <row r="740" spans="1:11" x14ac:dyDescent="0.25">
      <c r="A740" s="325">
        <f>IF(Info!$J$3&gt;0,Info!$J$3+B740, )</f>
        <v>0</v>
      </c>
      <c r="B740" s="381">
        <v>745</v>
      </c>
      <c r="C740" s="299"/>
      <c r="D740" s="299"/>
      <c r="E740" s="299"/>
      <c r="F740" s="211"/>
      <c r="G740" s="211"/>
      <c r="H740" s="294"/>
      <c r="I740" s="294"/>
      <c r="J740" s="208"/>
      <c r="K740" s="208"/>
    </row>
    <row r="741" spans="1:11" x14ac:dyDescent="0.25">
      <c r="A741" s="325">
        <f>IF(Info!$J$3&gt;0,Info!$J$3+B741, )</f>
        <v>0</v>
      </c>
      <c r="B741" s="335">
        <v>746</v>
      </c>
      <c r="C741" s="299"/>
      <c r="D741" s="299"/>
      <c r="E741" s="299"/>
      <c r="F741" s="211"/>
      <c r="G741" s="211"/>
      <c r="H741" s="294"/>
      <c r="I741" s="294"/>
      <c r="J741" s="208"/>
      <c r="K741" s="208"/>
    </row>
    <row r="742" spans="1:11" x14ac:dyDescent="0.25">
      <c r="A742" s="325">
        <f>IF(Info!$J$3&gt;0,Info!$J$3+B742, )</f>
        <v>0</v>
      </c>
      <c r="B742" s="381">
        <v>747</v>
      </c>
      <c r="C742" s="299"/>
      <c r="D742" s="299"/>
      <c r="E742" s="299"/>
      <c r="F742" s="211"/>
      <c r="G742" s="211"/>
      <c r="H742" s="294"/>
      <c r="I742" s="294"/>
      <c r="J742" s="208"/>
      <c r="K742" s="208"/>
    </row>
    <row r="743" spans="1:11" x14ac:dyDescent="0.25">
      <c r="A743" s="325">
        <f>IF(Info!$J$3&gt;0,Info!$J$3+B743, )</f>
        <v>0</v>
      </c>
      <c r="B743" s="335">
        <v>748</v>
      </c>
      <c r="C743" s="299"/>
      <c r="D743" s="299"/>
      <c r="E743" s="299"/>
      <c r="F743" s="211"/>
      <c r="G743" s="211"/>
      <c r="H743" s="294"/>
      <c r="I743" s="294"/>
      <c r="J743" s="208"/>
      <c r="K743" s="208"/>
    </row>
    <row r="744" spans="1:11" x14ac:dyDescent="0.25">
      <c r="A744" s="325">
        <f>IF(Info!$J$3&gt;0,Info!$J$3+B744, )</f>
        <v>0</v>
      </c>
      <c r="B744" s="381">
        <v>749</v>
      </c>
      <c r="C744" s="299"/>
      <c r="D744" s="299"/>
      <c r="E744" s="299"/>
      <c r="F744" s="211"/>
      <c r="G744" s="211"/>
      <c r="H744" s="294"/>
      <c r="I744" s="294"/>
      <c r="J744" s="208"/>
      <c r="K744" s="208"/>
    </row>
    <row r="745" spans="1:11" x14ac:dyDescent="0.25">
      <c r="A745" s="326">
        <f>A744</f>
        <v>0</v>
      </c>
      <c r="B745" s="382" t="str">
        <f>Traducción!$B$24&amp;" 107"</f>
        <v>Sem. 107</v>
      </c>
      <c r="C745" s="307">
        <f t="shared" ref="C745:E745" si="362">SUM(C738:C744)</f>
        <v>0</v>
      </c>
      <c r="D745" s="307">
        <f t="shared" si="362"/>
        <v>0</v>
      </c>
      <c r="E745" s="307">
        <f t="shared" si="362"/>
        <v>0</v>
      </c>
      <c r="F745" s="312">
        <f t="shared" ref="F745:G745" si="363">IFERROR(AVERAGE(F738:F744), )</f>
        <v>0</v>
      </c>
      <c r="G745" s="312">
        <f t="shared" si="363"/>
        <v>0</v>
      </c>
      <c r="H745" s="316">
        <f t="shared" ref="H745:I745" si="364">SUM(H738:H744)</f>
        <v>0</v>
      </c>
      <c r="I745" s="316">
        <f t="shared" si="364"/>
        <v>0</v>
      </c>
      <c r="J745" s="329">
        <f t="shared" ref="J745" si="365">IFERROR(AVERAGE(J738:J744), )</f>
        <v>0</v>
      </c>
      <c r="K745" s="224"/>
    </row>
    <row r="746" spans="1:11" x14ac:dyDescent="0.25">
      <c r="A746" s="325">
        <f>IF(Info!$J$3&gt;0,Info!$J$3+B746, )</f>
        <v>0</v>
      </c>
      <c r="B746" s="381">
        <v>750</v>
      </c>
      <c r="C746" s="308"/>
      <c r="D746" s="308"/>
      <c r="E746" s="308"/>
      <c r="F746" s="313"/>
      <c r="G746" s="313"/>
      <c r="H746" s="317"/>
      <c r="I746" s="317"/>
      <c r="J746" s="225"/>
      <c r="K746" s="208"/>
    </row>
    <row r="747" spans="1:11" x14ac:dyDescent="0.25">
      <c r="A747" s="325">
        <f>IF(Info!$J$3&gt;0,Info!$J$3+B747, )</f>
        <v>0</v>
      </c>
      <c r="B747" s="335">
        <v>751</v>
      </c>
      <c r="C747" s="299"/>
      <c r="D747" s="299"/>
      <c r="E747" s="299"/>
      <c r="F747" s="211"/>
      <c r="G747" s="211"/>
      <c r="H747" s="294"/>
      <c r="I747" s="294"/>
      <c r="J747" s="208"/>
      <c r="K747" s="208"/>
    </row>
    <row r="748" spans="1:11" x14ac:dyDescent="0.25">
      <c r="A748" s="325">
        <f>IF(Info!$J$3&gt;0,Info!$J$3+B748, )</f>
        <v>0</v>
      </c>
      <c r="B748" s="381">
        <v>752</v>
      </c>
      <c r="C748" s="299"/>
      <c r="D748" s="299"/>
      <c r="E748" s="299"/>
      <c r="F748" s="211"/>
      <c r="G748" s="211"/>
      <c r="H748" s="294"/>
      <c r="I748" s="294"/>
      <c r="J748" s="208"/>
      <c r="K748" s="208"/>
    </row>
    <row r="749" spans="1:11" x14ac:dyDescent="0.25">
      <c r="A749" s="325">
        <f>IF(Info!$J$3&gt;0,Info!$J$3+B749, )</f>
        <v>0</v>
      </c>
      <c r="B749" s="335">
        <v>753</v>
      </c>
      <c r="C749" s="299"/>
      <c r="D749" s="299"/>
      <c r="E749" s="299"/>
      <c r="F749" s="211"/>
      <c r="G749" s="211"/>
      <c r="H749" s="294"/>
      <c r="I749" s="294"/>
      <c r="J749" s="208"/>
      <c r="K749" s="208"/>
    </row>
    <row r="750" spans="1:11" x14ac:dyDescent="0.25">
      <c r="A750" s="325">
        <f>IF(Info!$J$3&gt;0,Info!$J$3+B750, )</f>
        <v>0</v>
      </c>
      <c r="B750" s="381">
        <v>754</v>
      </c>
      <c r="C750" s="299"/>
      <c r="D750" s="299"/>
      <c r="E750" s="299"/>
      <c r="F750" s="211"/>
      <c r="G750" s="211"/>
      <c r="H750" s="294"/>
      <c r="I750" s="294"/>
      <c r="J750" s="208"/>
      <c r="K750" s="208"/>
    </row>
    <row r="751" spans="1:11" x14ac:dyDescent="0.25">
      <c r="A751" s="325">
        <f>IF(Info!$J$3&gt;0,Info!$J$3+B751, )</f>
        <v>0</v>
      </c>
      <c r="B751" s="335">
        <v>755</v>
      </c>
      <c r="C751" s="299"/>
      <c r="D751" s="299"/>
      <c r="E751" s="299"/>
      <c r="F751" s="211"/>
      <c r="G751" s="211"/>
      <c r="H751" s="294"/>
      <c r="I751" s="294"/>
      <c r="J751" s="208"/>
      <c r="K751" s="208"/>
    </row>
    <row r="752" spans="1:11" x14ac:dyDescent="0.25">
      <c r="A752" s="325">
        <f>IF(Info!$J$3&gt;0,Info!$J$3+B752, )</f>
        <v>0</v>
      </c>
      <c r="B752" s="381">
        <v>756</v>
      </c>
      <c r="C752" s="299"/>
      <c r="D752" s="299"/>
      <c r="E752" s="299"/>
      <c r="F752" s="211"/>
      <c r="G752" s="211"/>
      <c r="H752" s="294"/>
      <c r="I752" s="294"/>
      <c r="J752" s="208"/>
      <c r="K752" s="208"/>
    </row>
    <row r="753" spans="1:11" x14ac:dyDescent="0.25">
      <c r="A753" s="326">
        <f>A752</f>
        <v>0</v>
      </c>
      <c r="B753" s="382" t="str">
        <f>Traducción!$B$24&amp;" 108"</f>
        <v>Sem. 108</v>
      </c>
      <c r="C753" s="307">
        <f t="shared" ref="C753:E753" si="366">SUM(C746:C752)</f>
        <v>0</v>
      </c>
      <c r="D753" s="307">
        <f t="shared" si="366"/>
        <v>0</v>
      </c>
      <c r="E753" s="307">
        <f t="shared" si="366"/>
        <v>0</v>
      </c>
      <c r="F753" s="312">
        <f t="shared" ref="F753:G753" si="367">IFERROR(AVERAGE(F746:F752), )</f>
        <v>0</v>
      </c>
      <c r="G753" s="312">
        <f t="shared" si="367"/>
        <v>0</v>
      </c>
      <c r="H753" s="316">
        <f t="shared" ref="H753:I753" si="368">SUM(H746:H752)</f>
        <v>0</v>
      </c>
      <c r="I753" s="316">
        <f t="shared" si="368"/>
        <v>0</v>
      </c>
      <c r="J753" s="329">
        <f t="shared" ref="J753" si="369">IFERROR(AVERAGE(J746:J752), )</f>
        <v>0</v>
      </c>
      <c r="K753" s="224"/>
    </row>
    <row r="754" spans="1:11" x14ac:dyDescent="0.25">
      <c r="A754" s="325">
        <f>IF(Info!$J$3&gt;0,Info!$J$3+B754, )</f>
        <v>0</v>
      </c>
      <c r="B754" s="381">
        <v>757</v>
      </c>
      <c r="C754" s="308"/>
      <c r="D754" s="308"/>
      <c r="E754" s="308"/>
      <c r="F754" s="313"/>
      <c r="G754" s="313"/>
      <c r="H754" s="317"/>
      <c r="I754" s="317"/>
      <c r="J754" s="225"/>
      <c r="K754" s="208"/>
    </row>
    <row r="755" spans="1:11" x14ac:dyDescent="0.25">
      <c r="A755" s="325">
        <f>IF(Info!$J$3&gt;0,Info!$J$3+B755, )</f>
        <v>0</v>
      </c>
      <c r="B755" s="335">
        <v>758</v>
      </c>
      <c r="C755" s="299"/>
      <c r="D755" s="299"/>
      <c r="E755" s="299"/>
      <c r="F755" s="211"/>
      <c r="G755" s="211"/>
      <c r="H755" s="294"/>
      <c r="I755" s="294"/>
      <c r="J755" s="208"/>
      <c r="K755" s="208"/>
    </row>
    <row r="756" spans="1:11" x14ac:dyDescent="0.25">
      <c r="A756" s="325">
        <f>IF(Info!$J$3&gt;0,Info!$J$3+B756, )</f>
        <v>0</v>
      </c>
      <c r="B756" s="381">
        <v>759</v>
      </c>
      <c r="C756" s="299"/>
      <c r="D756" s="299"/>
      <c r="E756" s="299"/>
      <c r="F756" s="211"/>
      <c r="G756" s="211"/>
      <c r="H756" s="294"/>
      <c r="I756" s="294"/>
      <c r="J756" s="208"/>
      <c r="K756" s="208"/>
    </row>
    <row r="757" spans="1:11" x14ac:dyDescent="0.25">
      <c r="A757" s="325">
        <f>IF(Info!$J$3&gt;0,Info!$J$3+B757, )</f>
        <v>0</v>
      </c>
      <c r="B757" s="335">
        <v>760</v>
      </c>
      <c r="C757" s="299"/>
      <c r="D757" s="299"/>
      <c r="E757" s="299"/>
      <c r="F757" s="211"/>
      <c r="G757" s="211"/>
      <c r="H757" s="294"/>
      <c r="I757" s="294"/>
      <c r="J757" s="208"/>
      <c r="K757" s="208"/>
    </row>
    <row r="758" spans="1:11" x14ac:dyDescent="0.25">
      <c r="A758" s="325">
        <f>IF(Info!$J$3&gt;0,Info!$J$3+B758, )</f>
        <v>0</v>
      </c>
      <c r="B758" s="381">
        <v>761</v>
      </c>
      <c r="C758" s="299"/>
      <c r="D758" s="299"/>
      <c r="E758" s="299"/>
      <c r="F758" s="211"/>
      <c r="G758" s="211"/>
      <c r="H758" s="294"/>
      <c r="I758" s="294"/>
      <c r="J758" s="208"/>
      <c r="K758" s="208"/>
    </row>
    <row r="759" spans="1:11" x14ac:dyDescent="0.25">
      <c r="A759" s="325">
        <f>IF(Info!$J$3&gt;0,Info!$J$3+B759, )</f>
        <v>0</v>
      </c>
      <c r="B759" s="335">
        <v>762</v>
      </c>
      <c r="C759" s="299"/>
      <c r="D759" s="299"/>
      <c r="E759" s="299"/>
      <c r="F759" s="211"/>
      <c r="G759" s="211"/>
      <c r="H759" s="294"/>
      <c r="I759" s="294"/>
      <c r="J759" s="208"/>
      <c r="K759" s="208"/>
    </row>
    <row r="760" spans="1:11" x14ac:dyDescent="0.25">
      <c r="A760" s="325">
        <f>IF(Info!$J$3&gt;0,Info!$J$3+B760, )</f>
        <v>0</v>
      </c>
      <c r="B760" s="381">
        <v>763</v>
      </c>
      <c r="C760" s="299"/>
      <c r="D760" s="299"/>
      <c r="E760" s="299"/>
      <c r="F760" s="211"/>
      <c r="G760" s="211"/>
      <c r="H760" s="294"/>
      <c r="I760" s="294"/>
      <c r="J760" s="208"/>
      <c r="K760" s="208"/>
    </row>
    <row r="761" spans="1:11" x14ac:dyDescent="0.25">
      <c r="A761" s="326">
        <f>A760</f>
        <v>0</v>
      </c>
      <c r="B761" s="382" t="str">
        <f>Traducción!$B$24&amp;" 109"</f>
        <v>Sem. 109</v>
      </c>
      <c r="C761" s="307">
        <f t="shared" ref="C761:E761" si="370">SUM(C754:C760)</f>
        <v>0</v>
      </c>
      <c r="D761" s="307">
        <f t="shared" si="370"/>
        <v>0</v>
      </c>
      <c r="E761" s="307">
        <f t="shared" si="370"/>
        <v>0</v>
      </c>
      <c r="F761" s="312">
        <f t="shared" ref="F761:G761" si="371">IFERROR(AVERAGE(F754:F760), )</f>
        <v>0</v>
      </c>
      <c r="G761" s="312">
        <f t="shared" si="371"/>
        <v>0</v>
      </c>
      <c r="H761" s="316">
        <f t="shared" ref="H761:I761" si="372">SUM(H754:H760)</f>
        <v>0</v>
      </c>
      <c r="I761" s="316">
        <f t="shared" si="372"/>
        <v>0</v>
      </c>
      <c r="J761" s="329">
        <f t="shared" ref="J761" si="373">IFERROR(AVERAGE(J754:J760), )</f>
        <v>0</v>
      </c>
      <c r="K761" s="224"/>
    </row>
    <row r="762" spans="1:11" x14ac:dyDescent="0.25">
      <c r="A762" s="325">
        <f>IF(Info!$J$3&gt;0,Info!$J$3+B762, )</f>
        <v>0</v>
      </c>
      <c r="B762" s="381">
        <v>764</v>
      </c>
      <c r="C762" s="308"/>
      <c r="D762" s="308"/>
      <c r="E762" s="308"/>
      <c r="F762" s="313"/>
      <c r="G762" s="313"/>
      <c r="H762" s="317"/>
      <c r="I762" s="317"/>
      <c r="J762" s="225"/>
      <c r="K762" s="208"/>
    </row>
    <row r="763" spans="1:11" x14ac:dyDescent="0.25">
      <c r="A763" s="325">
        <f>IF(Info!$J$3&gt;0,Info!$J$3+B763, )</f>
        <v>0</v>
      </c>
      <c r="B763" s="335">
        <v>765</v>
      </c>
      <c r="C763" s="299"/>
      <c r="D763" s="299"/>
      <c r="E763" s="299"/>
      <c r="F763" s="211"/>
      <c r="G763" s="211"/>
      <c r="H763" s="294"/>
      <c r="I763" s="294"/>
      <c r="J763" s="208"/>
      <c r="K763" s="208"/>
    </row>
    <row r="764" spans="1:11" x14ac:dyDescent="0.25">
      <c r="A764" s="325">
        <f>IF(Info!$J$3&gt;0,Info!$J$3+B764, )</f>
        <v>0</v>
      </c>
      <c r="B764" s="381">
        <v>766</v>
      </c>
      <c r="C764" s="299"/>
      <c r="D764" s="299"/>
      <c r="E764" s="299"/>
      <c r="F764" s="211"/>
      <c r="G764" s="211"/>
      <c r="H764" s="294"/>
      <c r="I764" s="294"/>
      <c r="J764" s="208"/>
      <c r="K764" s="208"/>
    </row>
    <row r="765" spans="1:11" x14ac:dyDescent="0.25">
      <c r="A765" s="325">
        <f>IF(Info!$J$3&gt;0,Info!$J$3+B765, )</f>
        <v>0</v>
      </c>
      <c r="B765" s="335">
        <v>767</v>
      </c>
      <c r="C765" s="299"/>
      <c r="D765" s="299"/>
      <c r="E765" s="299"/>
      <c r="F765" s="211"/>
      <c r="G765" s="211"/>
      <c r="H765" s="294"/>
      <c r="I765" s="294"/>
      <c r="J765" s="208"/>
      <c r="K765" s="208"/>
    </row>
    <row r="766" spans="1:11" x14ac:dyDescent="0.25">
      <c r="A766" s="325">
        <f>IF(Info!$J$3&gt;0,Info!$J$3+B766, )</f>
        <v>0</v>
      </c>
      <c r="B766" s="381">
        <v>768</v>
      </c>
      <c r="C766" s="299"/>
      <c r="D766" s="299"/>
      <c r="E766" s="299"/>
      <c r="F766" s="211"/>
      <c r="G766" s="211"/>
      <c r="H766" s="294"/>
      <c r="I766" s="294"/>
      <c r="J766" s="208"/>
      <c r="K766" s="208"/>
    </row>
    <row r="767" spans="1:11" x14ac:dyDescent="0.25">
      <c r="A767" s="325">
        <f>IF(Info!$J$3&gt;0,Info!$J$3+B767, )</f>
        <v>0</v>
      </c>
      <c r="B767" s="335">
        <v>769</v>
      </c>
      <c r="C767" s="299"/>
      <c r="D767" s="299"/>
      <c r="E767" s="299"/>
      <c r="F767" s="211"/>
      <c r="G767" s="211"/>
      <c r="H767" s="294"/>
      <c r="I767" s="294"/>
      <c r="J767" s="208"/>
      <c r="K767" s="208"/>
    </row>
    <row r="768" spans="1:11" x14ac:dyDescent="0.25">
      <c r="A768" s="325">
        <f>IF(Info!$J$3&gt;0,Info!$J$3+B768, )</f>
        <v>0</v>
      </c>
      <c r="B768" s="381">
        <v>770</v>
      </c>
      <c r="C768" s="299"/>
      <c r="D768" s="299"/>
      <c r="E768" s="299"/>
      <c r="F768" s="211"/>
      <c r="G768" s="211"/>
      <c r="H768" s="294"/>
      <c r="I768" s="294"/>
      <c r="J768" s="208"/>
      <c r="K768" s="208"/>
    </row>
    <row r="769" spans="1:11" x14ac:dyDescent="0.25">
      <c r="A769" s="326">
        <f>A768</f>
        <v>0</v>
      </c>
      <c r="B769" s="382" t="str">
        <f>Traducción!$B$24&amp;" 110"</f>
        <v>Sem. 110</v>
      </c>
      <c r="C769" s="307">
        <f t="shared" ref="C769:E769" si="374">SUM(C762:C768)</f>
        <v>0</v>
      </c>
      <c r="D769" s="307">
        <f t="shared" si="374"/>
        <v>0</v>
      </c>
      <c r="E769" s="307">
        <f t="shared" si="374"/>
        <v>0</v>
      </c>
      <c r="F769" s="312">
        <f t="shared" ref="F769:G769" si="375">IFERROR(AVERAGE(F762:F768), )</f>
        <v>0</v>
      </c>
      <c r="G769" s="312">
        <f t="shared" si="375"/>
        <v>0</v>
      </c>
      <c r="H769" s="316">
        <f t="shared" ref="H769:I769" si="376">SUM(H762:H768)</f>
        <v>0</v>
      </c>
      <c r="I769" s="316">
        <f t="shared" si="376"/>
        <v>0</v>
      </c>
      <c r="J769" s="329">
        <f t="shared" ref="J769" si="377">IFERROR(AVERAGE(J762:J768), )</f>
        <v>0</v>
      </c>
      <c r="K769" s="224"/>
    </row>
    <row r="770" spans="1:11" x14ac:dyDescent="0.25">
      <c r="A770" s="325">
        <f>IF(Info!$J$3&gt;0,Info!$J$3+B770, )</f>
        <v>0</v>
      </c>
      <c r="B770" s="381">
        <v>771</v>
      </c>
      <c r="C770" s="308"/>
      <c r="D770" s="308"/>
      <c r="E770" s="308"/>
      <c r="F770" s="313"/>
      <c r="G770" s="313"/>
      <c r="H770" s="317"/>
      <c r="I770" s="317"/>
      <c r="J770" s="225"/>
      <c r="K770" s="208"/>
    </row>
    <row r="771" spans="1:11" x14ac:dyDescent="0.25">
      <c r="A771" s="325">
        <f>IF(Info!$J$3&gt;0,Info!$J$3+B771, )</f>
        <v>0</v>
      </c>
      <c r="B771" s="335">
        <v>772</v>
      </c>
      <c r="C771" s="299"/>
      <c r="D771" s="299"/>
      <c r="E771" s="299"/>
      <c r="F771" s="211"/>
      <c r="G771" s="211"/>
      <c r="H771" s="294"/>
      <c r="I771" s="294"/>
      <c r="J771" s="208"/>
      <c r="K771" s="208"/>
    </row>
    <row r="772" spans="1:11" x14ac:dyDescent="0.25">
      <c r="A772" s="325">
        <f>IF(Info!$J$3&gt;0,Info!$J$3+B772, )</f>
        <v>0</v>
      </c>
      <c r="B772" s="381">
        <v>773</v>
      </c>
      <c r="C772" s="299"/>
      <c r="D772" s="299"/>
      <c r="E772" s="299"/>
      <c r="F772" s="211"/>
      <c r="G772" s="211"/>
      <c r="H772" s="294"/>
      <c r="I772" s="294"/>
      <c r="J772" s="208"/>
      <c r="K772" s="208"/>
    </row>
    <row r="773" spans="1:11" x14ac:dyDescent="0.25">
      <c r="A773" s="325">
        <f>IF(Info!$J$3&gt;0,Info!$J$3+B773, )</f>
        <v>0</v>
      </c>
      <c r="B773" s="335">
        <v>774</v>
      </c>
      <c r="C773" s="299"/>
      <c r="D773" s="299"/>
      <c r="E773" s="299"/>
      <c r="F773" s="211"/>
      <c r="G773" s="211"/>
      <c r="H773" s="294"/>
      <c r="I773" s="294"/>
      <c r="J773" s="208"/>
      <c r="K773" s="208"/>
    </row>
    <row r="774" spans="1:11" x14ac:dyDescent="0.25">
      <c r="A774" s="325">
        <f>IF(Info!$J$3&gt;0,Info!$J$3+B774, )</f>
        <v>0</v>
      </c>
      <c r="B774" s="381">
        <v>775</v>
      </c>
      <c r="C774" s="299"/>
      <c r="D774" s="299"/>
      <c r="E774" s="299"/>
      <c r="F774" s="211"/>
      <c r="G774" s="211"/>
      <c r="H774" s="294"/>
      <c r="I774" s="294"/>
      <c r="J774" s="208"/>
      <c r="K774" s="208"/>
    </row>
    <row r="775" spans="1:11" x14ac:dyDescent="0.25">
      <c r="A775" s="325">
        <f>IF(Info!$J$3&gt;0,Info!$J$3+B775, )</f>
        <v>0</v>
      </c>
      <c r="B775" s="335">
        <v>776</v>
      </c>
      <c r="C775" s="299"/>
      <c r="D775" s="299"/>
      <c r="E775" s="299"/>
      <c r="F775" s="211"/>
      <c r="G775" s="211"/>
      <c r="H775" s="294"/>
      <c r="I775" s="294"/>
      <c r="J775" s="208"/>
      <c r="K775" s="208"/>
    </row>
    <row r="776" spans="1:11" x14ac:dyDescent="0.25">
      <c r="A776" s="325">
        <f>IF(Info!$J$3&gt;0,Info!$J$3+B776, )</f>
        <v>0</v>
      </c>
      <c r="B776" s="381">
        <v>777</v>
      </c>
      <c r="C776" s="299"/>
      <c r="D776" s="299"/>
      <c r="E776" s="299"/>
      <c r="F776" s="211"/>
      <c r="G776" s="211"/>
      <c r="H776" s="294"/>
      <c r="I776" s="294"/>
      <c r="J776" s="208"/>
      <c r="K776" s="208"/>
    </row>
    <row r="777" spans="1:11" x14ac:dyDescent="0.25">
      <c r="A777" s="326">
        <f>A776</f>
        <v>0</v>
      </c>
      <c r="B777" s="382" t="str">
        <f>Traducción!$B$24&amp;" 111"</f>
        <v>Sem. 111</v>
      </c>
      <c r="C777" s="307">
        <f t="shared" ref="C777:E777" si="378">SUM(C770:C776)</f>
        <v>0</v>
      </c>
      <c r="D777" s="307">
        <f t="shared" si="378"/>
        <v>0</v>
      </c>
      <c r="E777" s="307">
        <f t="shared" si="378"/>
        <v>0</v>
      </c>
      <c r="F777" s="312">
        <f t="shared" ref="F777:G777" si="379">IFERROR(AVERAGE(F770:F776), )</f>
        <v>0</v>
      </c>
      <c r="G777" s="312">
        <f t="shared" si="379"/>
        <v>0</v>
      </c>
      <c r="H777" s="316">
        <f t="shared" ref="H777:I777" si="380">SUM(H770:H776)</f>
        <v>0</v>
      </c>
      <c r="I777" s="316">
        <f t="shared" si="380"/>
        <v>0</v>
      </c>
      <c r="J777" s="329">
        <f t="shared" ref="J777" si="381">IFERROR(AVERAGE(J770:J776), )</f>
        <v>0</v>
      </c>
      <c r="K777" s="224"/>
    </row>
    <row r="778" spans="1:11" x14ac:dyDescent="0.25">
      <c r="A778" s="325">
        <f>IF(Info!$J$3&gt;0,Info!$J$3+B778, )</f>
        <v>0</v>
      </c>
      <c r="B778" s="381">
        <v>778</v>
      </c>
      <c r="C778" s="308"/>
      <c r="D778" s="308"/>
      <c r="E778" s="308"/>
      <c r="F778" s="313"/>
      <c r="G778" s="313"/>
      <c r="H778" s="317"/>
      <c r="I778" s="317"/>
      <c r="J778" s="225"/>
      <c r="K778" s="208"/>
    </row>
    <row r="779" spans="1:11" x14ac:dyDescent="0.25">
      <c r="A779" s="325">
        <f>IF(Info!$J$3&gt;0,Info!$J$3+B779, )</f>
        <v>0</v>
      </c>
      <c r="B779" s="335">
        <v>779</v>
      </c>
      <c r="C779" s="299"/>
      <c r="D779" s="299"/>
      <c r="E779" s="299"/>
      <c r="F779" s="211"/>
      <c r="G779" s="211"/>
      <c r="H779" s="294"/>
      <c r="I779" s="294"/>
      <c r="J779" s="208"/>
      <c r="K779" s="208"/>
    </row>
    <row r="780" spans="1:11" x14ac:dyDescent="0.25">
      <c r="A780" s="325">
        <f>IF(Info!$J$3&gt;0,Info!$J$3+B780, )</f>
        <v>0</v>
      </c>
      <c r="B780" s="381">
        <v>780</v>
      </c>
      <c r="C780" s="299"/>
      <c r="D780" s="299"/>
      <c r="E780" s="299"/>
      <c r="F780" s="211"/>
      <c r="G780" s="211"/>
      <c r="H780" s="294"/>
      <c r="I780" s="294"/>
      <c r="J780" s="208"/>
      <c r="K780" s="208"/>
    </row>
    <row r="781" spans="1:11" x14ac:dyDescent="0.25">
      <c r="A781" s="325">
        <f>IF(Info!$J$3&gt;0,Info!$J$3+B781, )</f>
        <v>0</v>
      </c>
      <c r="B781" s="335">
        <v>781</v>
      </c>
      <c r="C781" s="299"/>
      <c r="D781" s="299"/>
      <c r="E781" s="299"/>
      <c r="F781" s="211"/>
      <c r="G781" s="211"/>
      <c r="H781" s="294"/>
      <c r="I781" s="294"/>
      <c r="J781" s="208"/>
      <c r="K781" s="208"/>
    </row>
    <row r="782" spans="1:11" x14ac:dyDescent="0.25">
      <c r="A782" s="325">
        <f>IF(Info!$J$3&gt;0,Info!$J$3+B782, )</f>
        <v>0</v>
      </c>
      <c r="B782" s="381">
        <v>782</v>
      </c>
      <c r="C782" s="299"/>
      <c r="D782" s="299"/>
      <c r="E782" s="299"/>
      <c r="F782" s="211"/>
      <c r="G782" s="211"/>
      <c r="H782" s="294"/>
      <c r="I782" s="294"/>
      <c r="J782" s="208"/>
      <c r="K782" s="208"/>
    </row>
    <row r="783" spans="1:11" x14ac:dyDescent="0.25">
      <c r="A783" s="325">
        <f>IF(Info!$J$3&gt;0,Info!$J$3+B783, )</f>
        <v>0</v>
      </c>
      <c r="B783" s="335">
        <v>783</v>
      </c>
      <c r="C783" s="299"/>
      <c r="D783" s="299"/>
      <c r="E783" s="299"/>
      <c r="F783" s="211"/>
      <c r="G783" s="211"/>
      <c r="H783" s="294"/>
      <c r="I783" s="294"/>
      <c r="J783" s="208"/>
      <c r="K783" s="208"/>
    </row>
    <row r="784" spans="1:11" x14ac:dyDescent="0.25">
      <c r="A784" s="325">
        <f>IF(Info!$J$3&gt;0,Info!$J$3+B784, )</f>
        <v>0</v>
      </c>
      <c r="B784" s="381">
        <v>784</v>
      </c>
      <c r="C784" s="299"/>
      <c r="D784" s="299"/>
      <c r="E784" s="299"/>
      <c r="F784" s="211"/>
      <c r="G784" s="211"/>
      <c r="H784" s="294"/>
      <c r="I784" s="294"/>
      <c r="J784" s="208"/>
      <c r="K784" s="208"/>
    </row>
    <row r="785" spans="1:11" x14ac:dyDescent="0.25">
      <c r="A785" s="326">
        <f>A784</f>
        <v>0</v>
      </c>
      <c r="B785" s="382" t="str">
        <f>Traducción!$B$24&amp;" 112"</f>
        <v>Sem. 112</v>
      </c>
      <c r="C785" s="307">
        <f t="shared" ref="C785:E785" si="382">SUM(C778:C784)</f>
        <v>0</v>
      </c>
      <c r="D785" s="307">
        <f t="shared" si="382"/>
        <v>0</v>
      </c>
      <c r="E785" s="307">
        <f t="shared" si="382"/>
        <v>0</v>
      </c>
      <c r="F785" s="312">
        <f t="shared" ref="F785:G785" si="383">IFERROR(AVERAGE(F778:F784), )</f>
        <v>0</v>
      </c>
      <c r="G785" s="312">
        <f t="shared" si="383"/>
        <v>0</v>
      </c>
      <c r="H785" s="316">
        <f t="shared" ref="H785:I785" si="384">SUM(H778:H784)</f>
        <v>0</v>
      </c>
      <c r="I785" s="316">
        <f t="shared" si="384"/>
        <v>0</v>
      </c>
      <c r="J785" s="329">
        <f t="shared" ref="J785" si="385">IFERROR(AVERAGE(J778:J784), )</f>
        <v>0</v>
      </c>
      <c r="K785" s="224"/>
    </row>
    <row r="786" spans="1:11" x14ac:dyDescent="0.25">
      <c r="A786" s="325">
        <f>IF(Info!$J$3&gt;0,Info!$J$3+B786, )</f>
        <v>0</v>
      </c>
      <c r="B786" s="381">
        <v>785</v>
      </c>
      <c r="C786" s="308"/>
      <c r="D786" s="308"/>
      <c r="E786" s="308"/>
      <c r="F786" s="313"/>
      <c r="G786" s="313"/>
      <c r="H786" s="317"/>
      <c r="I786" s="317"/>
      <c r="J786" s="225"/>
      <c r="K786" s="208"/>
    </row>
    <row r="787" spans="1:11" x14ac:dyDescent="0.25">
      <c r="A787" s="325">
        <f>IF(Info!$J$3&gt;0,Info!$J$3+B787, )</f>
        <v>0</v>
      </c>
      <c r="B787" s="335">
        <v>786</v>
      </c>
      <c r="C787" s="299"/>
      <c r="D787" s="299"/>
      <c r="E787" s="299"/>
      <c r="F787" s="211"/>
      <c r="G787" s="211"/>
      <c r="H787" s="294"/>
      <c r="I787" s="294"/>
      <c r="J787" s="208"/>
      <c r="K787" s="208"/>
    </row>
    <row r="788" spans="1:11" x14ac:dyDescent="0.25">
      <c r="A788" s="325">
        <f>IF(Info!$J$3&gt;0,Info!$J$3+B788, )</f>
        <v>0</v>
      </c>
      <c r="B788" s="381">
        <v>787</v>
      </c>
      <c r="C788" s="299"/>
      <c r="D788" s="299"/>
      <c r="E788" s="299"/>
      <c r="F788" s="211"/>
      <c r="G788" s="211"/>
      <c r="H788" s="294"/>
      <c r="I788" s="294"/>
      <c r="J788" s="208"/>
      <c r="K788" s="208"/>
    </row>
    <row r="789" spans="1:11" x14ac:dyDescent="0.25">
      <c r="A789" s="325">
        <f>IF(Info!$J$3&gt;0,Info!$J$3+B789, )</f>
        <v>0</v>
      </c>
      <c r="B789" s="335">
        <v>788</v>
      </c>
      <c r="C789" s="299"/>
      <c r="D789" s="299"/>
      <c r="E789" s="299"/>
      <c r="F789" s="211"/>
      <c r="G789" s="211"/>
      <c r="H789" s="294"/>
      <c r="I789" s="294"/>
      <c r="J789" s="208"/>
      <c r="K789" s="208"/>
    </row>
    <row r="790" spans="1:11" x14ac:dyDescent="0.25">
      <c r="A790" s="325">
        <f>IF(Info!$J$3&gt;0,Info!$J$3+B790, )</f>
        <v>0</v>
      </c>
      <c r="B790" s="381">
        <v>789</v>
      </c>
      <c r="C790" s="299"/>
      <c r="D790" s="299"/>
      <c r="E790" s="299"/>
      <c r="F790" s="211"/>
      <c r="G790" s="211"/>
      <c r="H790" s="294"/>
      <c r="I790" s="294"/>
      <c r="J790" s="208"/>
      <c r="K790" s="208"/>
    </row>
    <row r="791" spans="1:11" x14ac:dyDescent="0.25">
      <c r="A791" s="325">
        <f>IF(Info!$J$3&gt;0,Info!$J$3+B791, )</f>
        <v>0</v>
      </c>
      <c r="B791" s="335">
        <v>790</v>
      </c>
      <c r="C791" s="299"/>
      <c r="D791" s="299"/>
      <c r="E791" s="299"/>
      <c r="F791" s="211"/>
      <c r="G791" s="211"/>
      <c r="H791" s="294"/>
      <c r="I791" s="294"/>
      <c r="J791" s="208"/>
      <c r="K791" s="208"/>
    </row>
    <row r="792" spans="1:11" x14ac:dyDescent="0.25">
      <c r="A792" s="325">
        <f>IF(Info!$J$3&gt;0,Info!$J$3+B792, )</f>
        <v>0</v>
      </c>
      <c r="B792" s="381">
        <v>791</v>
      </c>
      <c r="C792" s="299"/>
      <c r="D792" s="299"/>
      <c r="E792" s="299"/>
      <c r="F792" s="211"/>
      <c r="G792" s="211"/>
      <c r="H792" s="294"/>
      <c r="I792" s="294"/>
      <c r="J792" s="208"/>
      <c r="K792" s="208"/>
    </row>
    <row r="793" spans="1:11" x14ac:dyDescent="0.25">
      <c r="A793" s="326">
        <f>A792</f>
        <v>0</v>
      </c>
      <c r="B793" s="382" t="str">
        <f>Traducción!$B$24&amp;" 113"</f>
        <v>Sem. 113</v>
      </c>
      <c r="C793" s="307">
        <f t="shared" ref="C793:E793" si="386">SUM(C786:C792)</f>
        <v>0</v>
      </c>
      <c r="D793" s="307">
        <f t="shared" si="386"/>
        <v>0</v>
      </c>
      <c r="E793" s="307">
        <f t="shared" si="386"/>
        <v>0</v>
      </c>
      <c r="F793" s="312">
        <f t="shared" ref="F793:G793" si="387">IFERROR(AVERAGE(F786:F792), )</f>
        <v>0</v>
      </c>
      <c r="G793" s="312">
        <f t="shared" si="387"/>
        <v>0</v>
      </c>
      <c r="H793" s="316">
        <f t="shared" ref="H793:I793" si="388">SUM(H786:H792)</f>
        <v>0</v>
      </c>
      <c r="I793" s="316">
        <f t="shared" si="388"/>
        <v>0</v>
      </c>
      <c r="J793" s="329">
        <f t="shared" ref="J793" si="389">IFERROR(AVERAGE(J786:J792), )</f>
        <v>0</v>
      </c>
      <c r="K793" s="224"/>
    </row>
    <row r="794" spans="1:11" x14ac:dyDescent="0.25">
      <c r="A794" s="325">
        <f>IF(Info!$J$3&gt;0,Info!$J$3+B794, )</f>
        <v>0</v>
      </c>
      <c r="B794" s="381">
        <v>792</v>
      </c>
      <c r="C794" s="308"/>
      <c r="D794" s="308"/>
      <c r="E794" s="308"/>
      <c r="F794" s="313"/>
      <c r="G794" s="313"/>
      <c r="H794" s="317"/>
      <c r="I794" s="317"/>
      <c r="J794" s="225"/>
      <c r="K794" s="208"/>
    </row>
    <row r="795" spans="1:11" x14ac:dyDescent="0.25">
      <c r="A795" s="325">
        <f>IF(Info!$J$3&gt;0,Info!$J$3+B795, )</f>
        <v>0</v>
      </c>
      <c r="B795" s="335">
        <v>793</v>
      </c>
      <c r="C795" s="299"/>
      <c r="D795" s="299"/>
      <c r="E795" s="299"/>
      <c r="F795" s="211"/>
      <c r="G795" s="211"/>
      <c r="H795" s="294"/>
      <c r="I795" s="294"/>
      <c r="J795" s="208"/>
      <c r="K795" s="208"/>
    </row>
    <row r="796" spans="1:11" x14ac:dyDescent="0.25">
      <c r="A796" s="325">
        <f>IF(Info!$J$3&gt;0,Info!$J$3+B796, )</f>
        <v>0</v>
      </c>
      <c r="B796" s="381">
        <v>794</v>
      </c>
      <c r="C796" s="299"/>
      <c r="D796" s="299"/>
      <c r="E796" s="299"/>
      <c r="F796" s="211"/>
      <c r="G796" s="211"/>
      <c r="H796" s="294"/>
      <c r="I796" s="294"/>
      <c r="J796" s="208"/>
      <c r="K796" s="208"/>
    </row>
    <row r="797" spans="1:11" x14ac:dyDescent="0.25">
      <c r="A797" s="325">
        <f>IF(Info!$J$3&gt;0,Info!$J$3+B797, )</f>
        <v>0</v>
      </c>
      <c r="B797" s="335">
        <v>795</v>
      </c>
      <c r="C797" s="299"/>
      <c r="D797" s="299"/>
      <c r="E797" s="299"/>
      <c r="F797" s="211"/>
      <c r="G797" s="211"/>
      <c r="H797" s="294"/>
      <c r="I797" s="294"/>
      <c r="J797" s="208"/>
      <c r="K797" s="208"/>
    </row>
    <row r="798" spans="1:11" x14ac:dyDescent="0.25">
      <c r="A798" s="325">
        <f>IF(Info!$J$3&gt;0,Info!$J$3+B798, )</f>
        <v>0</v>
      </c>
      <c r="B798" s="381">
        <v>796</v>
      </c>
      <c r="C798" s="299"/>
      <c r="D798" s="299"/>
      <c r="E798" s="299"/>
      <c r="F798" s="211"/>
      <c r="G798" s="211"/>
      <c r="H798" s="294"/>
      <c r="I798" s="294"/>
      <c r="J798" s="208"/>
      <c r="K798" s="208"/>
    </row>
    <row r="799" spans="1:11" x14ac:dyDescent="0.25">
      <c r="A799" s="325">
        <f>IF(Info!$J$3&gt;0,Info!$J$3+B799, )</f>
        <v>0</v>
      </c>
      <c r="B799" s="335">
        <v>797</v>
      </c>
      <c r="C799" s="299"/>
      <c r="D799" s="299"/>
      <c r="E799" s="299"/>
      <c r="F799" s="211"/>
      <c r="G799" s="211"/>
      <c r="H799" s="294"/>
      <c r="I799" s="294"/>
      <c r="J799" s="208"/>
      <c r="K799" s="208"/>
    </row>
    <row r="800" spans="1:11" x14ac:dyDescent="0.25">
      <c r="A800" s="325">
        <f>IF(Info!$J$3&gt;0,Info!$J$3+B800, )</f>
        <v>0</v>
      </c>
      <c r="B800" s="381">
        <v>798</v>
      </c>
      <c r="C800" s="299"/>
      <c r="D800" s="299"/>
      <c r="E800" s="299"/>
      <c r="F800" s="211"/>
      <c r="G800" s="211"/>
      <c r="H800" s="294"/>
      <c r="I800" s="294"/>
      <c r="J800" s="208"/>
      <c r="K800" s="208"/>
    </row>
    <row r="801" spans="1:11" x14ac:dyDescent="0.25">
      <c r="A801" s="326">
        <f>A800</f>
        <v>0</v>
      </c>
      <c r="B801" s="382" t="str">
        <f>Traducción!$B$24&amp;" 114"</f>
        <v>Sem. 114</v>
      </c>
      <c r="C801" s="307">
        <f t="shared" ref="C801:E801" si="390">SUM(C794:C800)</f>
        <v>0</v>
      </c>
      <c r="D801" s="307">
        <f t="shared" si="390"/>
        <v>0</v>
      </c>
      <c r="E801" s="307">
        <f t="shared" si="390"/>
        <v>0</v>
      </c>
      <c r="F801" s="312">
        <f t="shared" ref="F801:G801" si="391">IFERROR(AVERAGE(F794:F800), )</f>
        <v>0</v>
      </c>
      <c r="G801" s="312">
        <f t="shared" si="391"/>
        <v>0</v>
      </c>
      <c r="H801" s="316">
        <f t="shared" ref="H801:I801" si="392">SUM(H794:H800)</f>
        <v>0</v>
      </c>
      <c r="I801" s="316">
        <f t="shared" si="392"/>
        <v>0</v>
      </c>
      <c r="J801" s="329">
        <f t="shared" ref="J801" si="393">IFERROR(AVERAGE(J794:J800), )</f>
        <v>0</v>
      </c>
      <c r="K801" s="224"/>
    </row>
    <row r="802" spans="1:11" x14ac:dyDescent="0.25">
      <c r="A802" s="325">
        <f>IF(Info!$J$3&gt;0,Info!$J$3+B802, )</f>
        <v>0</v>
      </c>
      <c r="B802" s="381">
        <v>799</v>
      </c>
      <c r="C802" s="308"/>
      <c r="D802" s="308"/>
      <c r="E802" s="308"/>
      <c r="F802" s="313"/>
      <c r="G802" s="313"/>
      <c r="H802" s="317"/>
      <c r="I802" s="317"/>
      <c r="J802" s="225"/>
      <c r="K802" s="208"/>
    </row>
    <row r="803" spans="1:11" x14ac:dyDescent="0.25">
      <c r="A803" s="325">
        <f>IF(Info!$J$3&gt;0,Info!$J$3+B803, )</f>
        <v>0</v>
      </c>
      <c r="B803" s="335">
        <v>800</v>
      </c>
      <c r="C803" s="299"/>
      <c r="D803" s="299"/>
      <c r="E803" s="299"/>
      <c r="F803" s="211"/>
      <c r="G803" s="211"/>
      <c r="H803" s="294"/>
      <c r="I803" s="294"/>
      <c r="J803" s="208"/>
      <c r="K803" s="208"/>
    </row>
    <row r="804" spans="1:11" x14ac:dyDescent="0.25">
      <c r="A804" s="325">
        <f>IF(Info!$J$3&gt;0,Info!$J$3+B804, )</f>
        <v>0</v>
      </c>
      <c r="B804" s="381">
        <v>801</v>
      </c>
      <c r="C804" s="299"/>
      <c r="D804" s="299"/>
      <c r="E804" s="299"/>
      <c r="F804" s="211"/>
      <c r="G804" s="211"/>
      <c r="H804" s="294"/>
      <c r="I804" s="294"/>
      <c r="J804" s="208"/>
      <c r="K804" s="208"/>
    </row>
    <row r="805" spans="1:11" x14ac:dyDescent="0.25">
      <c r="A805" s="325">
        <f>IF(Info!$J$3&gt;0,Info!$J$3+B805, )</f>
        <v>0</v>
      </c>
      <c r="B805" s="335">
        <v>802</v>
      </c>
      <c r="C805" s="299"/>
      <c r="D805" s="299"/>
      <c r="E805" s="299"/>
      <c r="F805" s="211"/>
      <c r="G805" s="211"/>
      <c r="H805" s="294"/>
      <c r="I805" s="294"/>
      <c r="J805" s="208"/>
      <c r="K805" s="208"/>
    </row>
    <row r="806" spans="1:11" x14ac:dyDescent="0.25">
      <c r="A806" s="325">
        <f>IF(Info!$J$3&gt;0,Info!$J$3+B806, )</f>
        <v>0</v>
      </c>
      <c r="B806" s="381">
        <v>803</v>
      </c>
      <c r="C806" s="299"/>
      <c r="D806" s="299"/>
      <c r="E806" s="299"/>
      <c r="F806" s="211"/>
      <c r="G806" s="211"/>
      <c r="H806" s="294"/>
      <c r="I806" s="294"/>
      <c r="J806" s="208"/>
      <c r="K806" s="208"/>
    </row>
    <row r="807" spans="1:11" x14ac:dyDescent="0.25">
      <c r="A807" s="325">
        <f>IF(Info!$J$3&gt;0,Info!$J$3+B807, )</f>
        <v>0</v>
      </c>
      <c r="B807" s="335">
        <v>804</v>
      </c>
      <c r="C807" s="299"/>
      <c r="D807" s="299"/>
      <c r="E807" s="299"/>
      <c r="F807" s="211"/>
      <c r="G807" s="211"/>
      <c r="H807" s="294"/>
      <c r="I807" s="294"/>
      <c r="J807" s="208"/>
      <c r="K807" s="208"/>
    </row>
    <row r="808" spans="1:11" x14ac:dyDescent="0.25">
      <c r="A808" s="325">
        <f>IF(Info!$J$3&gt;0,Info!$J$3+B808, )</f>
        <v>0</v>
      </c>
      <c r="B808" s="381">
        <v>805</v>
      </c>
      <c r="C808" s="299"/>
      <c r="D808" s="299"/>
      <c r="E808" s="299"/>
      <c r="F808" s="211"/>
      <c r="G808" s="211"/>
      <c r="H808" s="294"/>
      <c r="I808" s="294"/>
      <c r="J808" s="208"/>
      <c r="K808" s="208"/>
    </row>
    <row r="809" spans="1:11" x14ac:dyDescent="0.25">
      <c r="A809" s="326">
        <f>A808</f>
        <v>0</v>
      </c>
      <c r="B809" s="382" t="str">
        <f>Traducción!$B$24&amp;" 115"</f>
        <v>Sem. 115</v>
      </c>
      <c r="C809" s="307">
        <f t="shared" ref="C809:E809" si="394">SUM(C802:C808)</f>
        <v>0</v>
      </c>
      <c r="D809" s="307">
        <f t="shared" si="394"/>
        <v>0</v>
      </c>
      <c r="E809" s="307">
        <f t="shared" si="394"/>
        <v>0</v>
      </c>
      <c r="F809" s="312">
        <f t="shared" ref="F809:G809" si="395">IFERROR(AVERAGE(F802:F808), )</f>
        <v>0</v>
      </c>
      <c r="G809" s="312">
        <f t="shared" si="395"/>
        <v>0</v>
      </c>
      <c r="H809" s="316">
        <f t="shared" ref="H809:I809" si="396">SUM(H802:H808)</f>
        <v>0</v>
      </c>
      <c r="I809" s="316">
        <f t="shared" si="396"/>
        <v>0</v>
      </c>
      <c r="J809" s="329">
        <f t="shared" ref="J809" si="397">IFERROR(AVERAGE(J802:J808), )</f>
        <v>0</v>
      </c>
      <c r="K809" s="224"/>
    </row>
    <row r="810" spans="1:11" x14ac:dyDescent="0.25">
      <c r="A810" s="325">
        <f>IF(Info!$J$3&gt;0,Info!$J$3+B810, )</f>
        <v>0</v>
      </c>
      <c r="B810" s="381">
        <v>806</v>
      </c>
      <c r="C810" s="308"/>
      <c r="D810" s="308"/>
      <c r="E810" s="308"/>
      <c r="F810" s="313"/>
      <c r="G810" s="313"/>
      <c r="H810" s="317"/>
      <c r="I810" s="317"/>
      <c r="J810" s="225"/>
      <c r="K810" s="208"/>
    </row>
    <row r="811" spans="1:11" x14ac:dyDescent="0.25">
      <c r="A811" s="325">
        <f>IF(Info!$J$3&gt;0,Info!$J$3+B811, )</f>
        <v>0</v>
      </c>
      <c r="B811" s="335">
        <v>807</v>
      </c>
      <c r="C811" s="299"/>
      <c r="D811" s="299"/>
      <c r="E811" s="299"/>
      <c r="F811" s="211"/>
      <c r="G811" s="211"/>
      <c r="H811" s="294"/>
      <c r="I811" s="294"/>
      <c r="J811" s="208"/>
      <c r="K811" s="208"/>
    </row>
    <row r="812" spans="1:11" x14ac:dyDescent="0.25">
      <c r="A812" s="325">
        <f>IF(Info!$J$3&gt;0,Info!$J$3+B812, )</f>
        <v>0</v>
      </c>
      <c r="B812" s="381">
        <v>808</v>
      </c>
      <c r="C812" s="299"/>
      <c r="D812" s="299"/>
      <c r="E812" s="299"/>
      <c r="F812" s="211"/>
      <c r="G812" s="211"/>
      <c r="H812" s="294"/>
      <c r="I812" s="294"/>
      <c r="J812" s="208"/>
      <c r="K812" s="208"/>
    </row>
    <row r="813" spans="1:11" x14ac:dyDescent="0.25">
      <c r="A813" s="325">
        <f>IF(Info!$J$3&gt;0,Info!$J$3+B813, )</f>
        <v>0</v>
      </c>
      <c r="B813" s="335">
        <v>809</v>
      </c>
      <c r="C813" s="299"/>
      <c r="D813" s="299"/>
      <c r="E813" s="299"/>
      <c r="F813" s="211"/>
      <c r="G813" s="211"/>
      <c r="H813" s="294"/>
      <c r="I813" s="294"/>
      <c r="J813" s="208"/>
      <c r="K813" s="208"/>
    </row>
    <row r="814" spans="1:11" x14ac:dyDescent="0.25">
      <c r="A814" s="325">
        <f>IF(Info!$J$3&gt;0,Info!$J$3+B814, )</f>
        <v>0</v>
      </c>
      <c r="B814" s="381">
        <v>810</v>
      </c>
      <c r="C814" s="299"/>
      <c r="D814" s="299"/>
      <c r="E814" s="299"/>
      <c r="F814" s="211"/>
      <c r="G814" s="211"/>
      <c r="H814" s="294"/>
      <c r="I814" s="294"/>
      <c r="J814" s="208"/>
      <c r="K814" s="208"/>
    </row>
    <row r="815" spans="1:11" x14ac:dyDescent="0.25">
      <c r="A815" s="325">
        <f>IF(Info!$J$3&gt;0,Info!$J$3+B815, )</f>
        <v>0</v>
      </c>
      <c r="B815" s="335">
        <v>811</v>
      </c>
      <c r="C815" s="299"/>
      <c r="D815" s="299"/>
      <c r="E815" s="299"/>
      <c r="F815" s="211"/>
      <c r="G815" s="211"/>
      <c r="H815" s="294"/>
      <c r="I815" s="294"/>
      <c r="J815" s="208"/>
      <c r="K815" s="208"/>
    </row>
    <row r="816" spans="1:11" x14ac:dyDescent="0.25">
      <c r="A816" s="325">
        <f>IF(Info!$J$3&gt;0,Info!$J$3+B816, )</f>
        <v>0</v>
      </c>
      <c r="B816" s="381">
        <v>812</v>
      </c>
      <c r="C816" s="299"/>
      <c r="D816" s="299"/>
      <c r="E816" s="299"/>
      <c r="F816" s="211"/>
      <c r="G816" s="211"/>
      <c r="H816" s="294"/>
      <c r="I816" s="294"/>
      <c r="J816" s="208"/>
      <c r="K816" s="208"/>
    </row>
    <row r="817" spans="1:11" x14ac:dyDescent="0.25">
      <c r="A817" s="326">
        <f>A816</f>
        <v>0</v>
      </c>
      <c r="B817" s="382" t="str">
        <f>Traducción!$B$24&amp;" 116"</f>
        <v>Sem. 116</v>
      </c>
      <c r="C817" s="307">
        <f t="shared" ref="C817:E817" si="398">SUM(C810:C816)</f>
        <v>0</v>
      </c>
      <c r="D817" s="307">
        <f t="shared" si="398"/>
        <v>0</v>
      </c>
      <c r="E817" s="307">
        <f t="shared" si="398"/>
        <v>0</v>
      </c>
      <c r="F817" s="312">
        <f t="shared" ref="F817:G817" si="399">IFERROR(AVERAGE(F810:F816), )</f>
        <v>0</v>
      </c>
      <c r="G817" s="312">
        <f t="shared" si="399"/>
        <v>0</v>
      </c>
      <c r="H817" s="316">
        <f t="shared" ref="H817:I817" si="400">SUM(H810:H816)</f>
        <v>0</v>
      </c>
      <c r="I817" s="316">
        <f t="shared" si="400"/>
        <v>0</v>
      </c>
      <c r="J817" s="329">
        <f t="shared" ref="J817" si="401">IFERROR(AVERAGE(J810:J816), )</f>
        <v>0</v>
      </c>
      <c r="K817" s="224"/>
    </row>
    <row r="818" spans="1:11" x14ac:dyDescent="0.25">
      <c r="A818" s="325">
        <f>IF(Info!$J$3&gt;0,Info!$J$3+B818, )</f>
        <v>0</v>
      </c>
      <c r="B818" s="381">
        <v>813</v>
      </c>
      <c r="C818" s="308"/>
      <c r="D818" s="308"/>
      <c r="E818" s="308"/>
      <c r="F818" s="313"/>
      <c r="G818" s="313"/>
      <c r="H818" s="317"/>
      <c r="I818" s="317"/>
      <c r="J818" s="225"/>
      <c r="K818" s="208"/>
    </row>
    <row r="819" spans="1:11" x14ac:dyDescent="0.25">
      <c r="A819" s="325">
        <f>IF(Info!$J$3&gt;0,Info!$J$3+B819, )</f>
        <v>0</v>
      </c>
      <c r="B819" s="335">
        <v>814</v>
      </c>
      <c r="C819" s="299"/>
      <c r="D819" s="299"/>
      <c r="E819" s="299"/>
      <c r="F819" s="211"/>
      <c r="G819" s="211"/>
      <c r="H819" s="294"/>
      <c r="I819" s="294"/>
      <c r="J819" s="208"/>
      <c r="K819" s="208"/>
    </row>
    <row r="820" spans="1:11" x14ac:dyDescent="0.25">
      <c r="A820" s="325">
        <f>IF(Info!$J$3&gt;0,Info!$J$3+B820, )</f>
        <v>0</v>
      </c>
      <c r="B820" s="381">
        <v>815</v>
      </c>
      <c r="C820" s="299"/>
      <c r="D820" s="299"/>
      <c r="E820" s="299"/>
      <c r="F820" s="211"/>
      <c r="G820" s="211"/>
      <c r="H820" s="294"/>
      <c r="I820" s="294"/>
      <c r="J820" s="208"/>
      <c r="K820" s="208"/>
    </row>
    <row r="821" spans="1:11" x14ac:dyDescent="0.25">
      <c r="A821" s="325">
        <f>IF(Info!$J$3&gt;0,Info!$J$3+B821, )</f>
        <v>0</v>
      </c>
      <c r="B821" s="335">
        <v>816</v>
      </c>
      <c r="C821" s="299"/>
      <c r="D821" s="299"/>
      <c r="E821" s="299"/>
      <c r="F821" s="211"/>
      <c r="G821" s="211"/>
      <c r="H821" s="294"/>
      <c r="I821" s="294"/>
      <c r="J821" s="208"/>
      <c r="K821" s="208"/>
    </row>
    <row r="822" spans="1:11" x14ac:dyDescent="0.25">
      <c r="A822" s="325">
        <f>IF(Info!$J$3&gt;0,Info!$J$3+B822, )</f>
        <v>0</v>
      </c>
      <c r="B822" s="381">
        <v>817</v>
      </c>
      <c r="C822" s="299"/>
      <c r="D822" s="299"/>
      <c r="E822" s="299"/>
      <c r="F822" s="211"/>
      <c r="G822" s="211"/>
      <c r="H822" s="294"/>
      <c r="I822" s="294"/>
      <c r="J822" s="208"/>
      <c r="K822" s="208"/>
    </row>
    <row r="823" spans="1:11" x14ac:dyDescent="0.25">
      <c r="A823" s="325">
        <f>IF(Info!$J$3&gt;0,Info!$J$3+B823, )</f>
        <v>0</v>
      </c>
      <c r="B823" s="335">
        <v>818</v>
      </c>
      <c r="C823" s="299"/>
      <c r="D823" s="299"/>
      <c r="E823" s="299"/>
      <c r="F823" s="211"/>
      <c r="G823" s="211"/>
      <c r="H823" s="294"/>
      <c r="I823" s="294"/>
      <c r="J823" s="208"/>
      <c r="K823" s="208"/>
    </row>
    <row r="824" spans="1:11" x14ac:dyDescent="0.25">
      <c r="A824" s="325">
        <f>IF(Info!$J$3&gt;0,Info!$J$3+B824, )</f>
        <v>0</v>
      </c>
      <c r="B824" s="381">
        <v>819</v>
      </c>
      <c r="C824" s="299"/>
      <c r="D824" s="299"/>
      <c r="E824" s="299"/>
      <c r="F824" s="211"/>
      <c r="G824" s="211"/>
      <c r="H824" s="294"/>
      <c r="I824" s="294"/>
      <c r="J824" s="208"/>
      <c r="K824" s="208"/>
    </row>
    <row r="825" spans="1:11" x14ac:dyDescent="0.25">
      <c r="A825" s="326">
        <f>A824</f>
        <v>0</v>
      </c>
      <c r="B825" s="382" t="str">
        <f>Traducción!$B$24&amp;" 117"</f>
        <v>Sem. 117</v>
      </c>
      <c r="C825" s="307">
        <f t="shared" ref="C825:E825" si="402">SUM(C818:C824)</f>
        <v>0</v>
      </c>
      <c r="D825" s="307">
        <f t="shared" si="402"/>
        <v>0</v>
      </c>
      <c r="E825" s="307">
        <f t="shared" si="402"/>
        <v>0</v>
      </c>
      <c r="F825" s="312">
        <f t="shared" ref="F825:G825" si="403">IFERROR(AVERAGE(F818:F824), )</f>
        <v>0</v>
      </c>
      <c r="G825" s="312">
        <f t="shared" si="403"/>
        <v>0</v>
      </c>
      <c r="H825" s="316">
        <f t="shared" ref="H825:I825" si="404">SUM(H818:H824)</f>
        <v>0</v>
      </c>
      <c r="I825" s="316">
        <f t="shared" si="404"/>
        <v>0</v>
      </c>
      <c r="J825" s="329">
        <f t="shared" ref="J825" si="405">IFERROR(AVERAGE(J818:J824), )</f>
        <v>0</v>
      </c>
      <c r="K825" s="224"/>
    </row>
    <row r="826" spans="1:11" x14ac:dyDescent="0.25">
      <c r="A826" s="325">
        <f>IF(Info!$J$3&gt;0,Info!$J$3+B826, )</f>
        <v>0</v>
      </c>
      <c r="B826" s="381">
        <v>820</v>
      </c>
      <c r="C826" s="308"/>
      <c r="D826" s="308"/>
      <c r="E826" s="308"/>
      <c r="F826" s="313"/>
      <c r="G826" s="313"/>
      <c r="H826" s="317"/>
      <c r="I826" s="317"/>
      <c r="J826" s="225"/>
      <c r="K826" s="208"/>
    </row>
    <row r="827" spans="1:11" x14ac:dyDescent="0.25">
      <c r="A827" s="325">
        <f>IF(Info!$J$3&gt;0,Info!$J$3+B827, )</f>
        <v>0</v>
      </c>
      <c r="B827" s="335">
        <v>821</v>
      </c>
      <c r="C827" s="299"/>
      <c r="D827" s="299"/>
      <c r="E827" s="299"/>
      <c r="F827" s="211"/>
      <c r="G827" s="211"/>
      <c r="H827" s="294"/>
      <c r="I827" s="294"/>
      <c r="J827" s="208"/>
      <c r="K827" s="208"/>
    </row>
    <row r="828" spans="1:11" x14ac:dyDescent="0.25">
      <c r="A828" s="325">
        <f>IF(Info!$J$3&gt;0,Info!$J$3+B828, )</f>
        <v>0</v>
      </c>
      <c r="B828" s="381">
        <v>822</v>
      </c>
      <c r="C828" s="299"/>
      <c r="D828" s="299"/>
      <c r="E828" s="299"/>
      <c r="F828" s="211"/>
      <c r="G828" s="211"/>
      <c r="H828" s="294"/>
      <c r="I828" s="294"/>
      <c r="J828" s="208"/>
      <c r="K828" s="208"/>
    </row>
    <row r="829" spans="1:11" x14ac:dyDescent="0.25">
      <c r="A829" s="325">
        <f>IF(Info!$J$3&gt;0,Info!$J$3+B829, )</f>
        <v>0</v>
      </c>
      <c r="B829" s="335">
        <v>823</v>
      </c>
      <c r="C829" s="299"/>
      <c r="D829" s="299"/>
      <c r="E829" s="299"/>
      <c r="F829" s="211"/>
      <c r="G829" s="211"/>
      <c r="H829" s="294"/>
      <c r="I829" s="294"/>
      <c r="J829" s="208"/>
      <c r="K829" s="208"/>
    </row>
    <row r="830" spans="1:11" x14ac:dyDescent="0.25">
      <c r="A830" s="325">
        <f>IF(Info!$J$3&gt;0,Info!$J$3+B830, )</f>
        <v>0</v>
      </c>
      <c r="B830" s="381">
        <v>824</v>
      </c>
      <c r="C830" s="299"/>
      <c r="D830" s="299"/>
      <c r="E830" s="299"/>
      <c r="F830" s="211"/>
      <c r="G830" s="211"/>
      <c r="H830" s="294"/>
      <c r="I830" s="294"/>
      <c r="J830" s="208"/>
      <c r="K830" s="208"/>
    </row>
    <row r="831" spans="1:11" x14ac:dyDescent="0.25">
      <c r="A831" s="325">
        <f>IF(Info!$J$3&gt;0,Info!$J$3+B831, )</f>
        <v>0</v>
      </c>
      <c r="B831" s="335">
        <v>825</v>
      </c>
      <c r="C831" s="299"/>
      <c r="D831" s="299"/>
      <c r="E831" s="299"/>
      <c r="F831" s="211"/>
      <c r="G831" s="211"/>
      <c r="H831" s="294"/>
      <c r="I831" s="294"/>
      <c r="J831" s="208"/>
      <c r="K831" s="208"/>
    </row>
    <row r="832" spans="1:11" x14ac:dyDescent="0.25">
      <c r="A832" s="325">
        <f>IF(Info!$J$3&gt;0,Info!$J$3+B832, )</f>
        <v>0</v>
      </c>
      <c r="B832" s="381">
        <v>826</v>
      </c>
      <c r="C832" s="299"/>
      <c r="D832" s="299"/>
      <c r="E832" s="299"/>
      <c r="F832" s="211"/>
      <c r="G832" s="211"/>
      <c r="H832" s="294"/>
      <c r="I832" s="294"/>
      <c r="J832" s="208"/>
      <c r="K832" s="208"/>
    </row>
    <row r="833" spans="1:11" x14ac:dyDescent="0.25">
      <c r="A833" s="326">
        <f>A832</f>
        <v>0</v>
      </c>
      <c r="B833" s="382" t="str">
        <f>Traducción!$B$24&amp;" 118"</f>
        <v>Sem. 118</v>
      </c>
      <c r="C833" s="307">
        <f t="shared" ref="C833:E833" si="406">SUM(C826:C832)</f>
        <v>0</v>
      </c>
      <c r="D833" s="307">
        <f t="shared" si="406"/>
        <v>0</v>
      </c>
      <c r="E833" s="307">
        <f t="shared" si="406"/>
        <v>0</v>
      </c>
      <c r="F833" s="312">
        <f t="shared" ref="F833:G833" si="407">IFERROR(AVERAGE(F826:F832), )</f>
        <v>0</v>
      </c>
      <c r="G833" s="312">
        <f t="shared" si="407"/>
        <v>0</v>
      </c>
      <c r="H833" s="316">
        <f t="shared" ref="H833:I833" si="408">SUM(H826:H832)</f>
        <v>0</v>
      </c>
      <c r="I833" s="316">
        <f t="shared" si="408"/>
        <v>0</v>
      </c>
      <c r="J833" s="329">
        <f t="shared" ref="J833" si="409">IFERROR(AVERAGE(J826:J832), )</f>
        <v>0</v>
      </c>
      <c r="K833" s="224"/>
    </row>
    <row r="834" spans="1:11" x14ac:dyDescent="0.25">
      <c r="A834" s="325">
        <f>IF(Info!$J$3&gt;0,Info!$J$3+B834, )</f>
        <v>0</v>
      </c>
      <c r="B834" s="381">
        <v>827</v>
      </c>
      <c r="C834" s="308"/>
      <c r="D834" s="308"/>
      <c r="E834" s="308"/>
      <c r="F834" s="313"/>
      <c r="G834" s="313"/>
      <c r="H834" s="317"/>
      <c r="I834" s="317"/>
      <c r="J834" s="225"/>
      <c r="K834" s="208"/>
    </row>
    <row r="835" spans="1:11" x14ac:dyDescent="0.25">
      <c r="A835" s="325">
        <f>IF(Info!$J$3&gt;0,Info!$J$3+B835, )</f>
        <v>0</v>
      </c>
      <c r="B835" s="335">
        <v>828</v>
      </c>
      <c r="C835" s="299"/>
      <c r="D835" s="299"/>
      <c r="E835" s="299"/>
      <c r="F835" s="211"/>
      <c r="G835" s="211"/>
      <c r="H835" s="294"/>
      <c r="I835" s="294"/>
      <c r="J835" s="208"/>
      <c r="K835" s="208"/>
    </row>
    <row r="836" spans="1:11" x14ac:dyDescent="0.25">
      <c r="A836" s="325">
        <f>IF(Info!$J$3&gt;0,Info!$J$3+B836, )</f>
        <v>0</v>
      </c>
      <c r="B836" s="381">
        <v>829</v>
      </c>
      <c r="C836" s="299"/>
      <c r="D836" s="299"/>
      <c r="E836" s="299"/>
      <c r="F836" s="211"/>
      <c r="G836" s="211"/>
      <c r="H836" s="294"/>
      <c r="I836" s="294"/>
      <c r="J836" s="208"/>
      <c r="K836" s="208"/>
    </row>
    <row r="837" spans="1:11" x14ac:dyDescent="0.25">
      <c r="A837" s="325">
        <f>IF(Info!$J$3&gt;0,Info!$J$3+B837, )</f>
        <v>0</v>
      </c>
      <c r="B837" s="335">
        <v>830</v>
      </c>
      <c r="C837" s="299"/>
      <c r="D837" s="299"/>
      <c r="E837" s="299"/>
      <c r="F837" s="211"/>
      <c r="G837" s="211"/>
      <c r="H837" s="294"/>
      <c r="I837" s="294"/>
      <c r="J837" s="208"/>
      <c r="K837" s="208"/>
    </row>
    <row r="838" spans="1:11" x14ac:dyDescent="0.25">
      <c r="A838" s="325">
        <f>IF(Info!$J$3&gt;0,Info!$J$3+B838, )</f>
        <v>0</v>
      </c>
      <c r="B838" s="381">
        <v>831</v>
      </c>
      <c r="C838" s="299"/>
      <c r="D838" s="299"/>
      <c r="E838" s="299"/>
      <c r="F838" s="211"/>
      <c r="G838" s="211"/>
      <c r="H838" s="294"/>
      <c r="I838" s="294"/>
      <c r="J838" s="208"/>
      <c r="K838" s="208"/>
    </row>
    <row r="839" spans="1:11" x14ac:dyDescent="0.25">
      <c r="A839" s="325">
        <f>IF(Info!$J$3&gt;0,Info!$J$3+B839, )</f>
        <v>0</v>
      </c>
      <c r="B839" s="335">
        <v>832</v>
      </c>
      <c r="C839" s="299"/>
      <c r="D839" s="299"/>
      <c r="E839" s="299"/>
      <c r="F839" s="211"/>
      <c r="G839" s="211"/>
      <c r="H839" s="294"/>
      <c r="I839" s="294"/>
      <c r="J839" s="208"/>
      <c r="K839" s="208"/>
    </row>
    <row r="840" spans="1:11" x14ac:dyDescent="0.25">
      <c r="A840" s="325">
        <f>IF(Info!$J$3&gt;0,Info!$J$3+B840, )</f>
        <v>0</v>
      </c>
      <c r="B840" s="381">
        <v>833</v>
      </c>
      <c r="C840" s="299"/>
      <c r="D840" s="299"/>
      <c r="E840" s="299"/>
      <c r="F840" s="211"/>
      <c r="G840" s="211"/>
      <c r="H840" s="294"/>
      <c r="I840" s="294"/>
      <c r="J840" s="208"/>
      <c r="K840" s="208"/>
    </row>
    <row r="841" spans="1:11" x14ac:dyDescent="0.25">
      <c r="A841" s="326">
        <f>A840</f>
        <v>0</v>
      </c>
      <c r="B841" s="382" t="str">
        <f>Traducción!$B$24&amp;" 119"</f>
        <v>Sem. 119</v>
      </c>
      <c r="C841" s="307">
        <f t="shared" ref="C841:E841" si="410">SUM(C834:C840)</f>
        <v>0</v>
      </c>
      <c r="D841" s="307">
        <f t="shared" si="410"/>
        <v>0</v>
      </c>
      <c r="E841" s="307">
        <f t="shared" si="410"/>
        <v>0</v>
      </c>
      <c r="F841" s="312">
        <f t="shared" ref="F841:G841" si="411">IFERROR(AVERAGE(F834:F840), )</f>
        <v>0</v>
      </c>
      <c r="G841" s="312">
        <f t="shared" si="411"/>
        <v>0</v>
      </c>
      <c r="H841" s="316">
        <f t="shared" ref="H841:I841" si="412">SUM(H834:H840)</f>
        <v>0</v>
      </c>
      <c r="I841" s="316">
        <f t="shared" si="412"/>
        <v>0</v>
      </c>
      <c r="J841" s="329">
        <f t="shared" ref="J841" si="413">IFERROR(AVERAGE(J834:J840), )</f>
        <v>0</v>
      </c>
      <c r="K841" s="224"/>
    </row>
    <row r="842" spans="1:11" x14ac:dyDescent="0.25">
      <c r="A842" s="325">
        <f>IF(Info!$J$3&gt;0,Info!$J$3+B842, )</f>
        <v>0</v>
      </c>
      <c r="B842" s="381">
        <v>834</v>
      </c>
      <c r="C842" s="308"/>
      <c r="D842" s="308"/>
      <c r="E842" s="308"/>
      <c r="F842" s="313"/>
      <c r="G842" s="313"/>
      <c r="H842" s="317"/>
      <c r="I842" s="317"/>
      <c r="J842" s="225"/>
      <c r="K842" s="208"/>
    </row>
    <row r="843" spans="1:11" x14ac:dyDescent="0.25">
      <c r="A843" s="325">
        <f>IF(Info!$J$3&gt;0,Info!$J$3+B843, )</f>
        <v>0</v>
      </c>
      <c r="B843" s="335">
        <v>835</v>
      </c>
      <c r="C843" s="299"/>
      <c r="D843" s="299"/>
      <c r="E843" s="299"/>
      <c r="F843" s="211"/>
      <c r="G843" s="211"/>
      <c r="H843" s="294"/>
      <c r="I843" s="294"/>
      <c r="J843" s="208"/>
      <c r="K843" s="208"/>
    </row>
    <row r="844" spans="1:11" x14ac:dyDescent="0.25">
      <c r="A844" s="325">
        <f>IF(Info!$J$3&gt;0,Info!$J$3+B844, )</f>
        <v>0</v>
      </c>
      <c r="B844" s="381">
        <v>836</v>
      </c>
      <c r="C844" s="299"/>
      <c r="D844" s="299"/>
      <c r="E844" s="299"/>
      <c r="F844" s="211"/>
      <c r="G844" s="211"/>
      <c r="H844" s="294"/>
      <c r="I844" s="294"/>
      <c r="J844" s="208"/>
      <c r="K844" s="208"/>
    </row>
    <row r="845" spans="1:11" x14ac:dyDescent="0.25">
      <c r="A845" s="325">
        <f>IF(Info!$J$3&gt;0,Info!$J$3+B845, )</f>
        <v>0</v>
      </c>
      <c r="B845" s="335">
        <v>837</v>
      </c>
      <c r="C845" s="299"/>
      <c r="D845" s="299"/>
      <c r="E845" s="299"/>
      <c r="F845" s="211"/>
      <c r="G845" s="211"/>
      <c r="H845" s="294"/>
      <c r="I845" s="294"/>
      <c r="J845" s="208"/>
      <c r="K845" s="208"/>
    </row>
    <row r="846" spans="1:11" x14ac:dyDescent="0.25">
      <c r="A846" s="325">
        <f>IF(Info!$J$3&gt;0,Info!$J$3+B846, )</f>
        <v>0</v>
      </c>
      <c r="B846" s="381">
        <v>838</v>
      </c>
      <c r="C846" s="299"/>
      <c r="D846" s="299"/>
      <c r="E846" s="299"/>
      <c r="F846" s="211"/>
      <c r="G846" s="211"/>
      <c r="H846" s="294"/>
      <c r="I846" s="294"/>
      <c r="J846" s="208"/>
      <c r="K846" s="208"/>
    </row>
    <row r="847" spans="1:11" x14ac:dyDescent="0.25">
      <c r="A847" s="325">
        <f>IF(Info!$J$3&gt;0,Info!$J$3+B847, )</f>
        <v>0</v>
      </c>
      <c r="B847" s="335">
        <v>839</v>
      </c>
      <c r="C847" s="299"/>
      <c r="D847" s="299"/>
      <c r="E847" s="299"/>
      <c r="F847" s="211"/>
      <c r="G847" s="211"/>
      <c r="H847" s="294"/>
      <c r="I847" s="294"/>
      <c r="J847" s="208"/>
      <c r="K847" s="208"/>
    </row>
    <row r="848" spans="1:11" x14ac:dyDescent="0.25">
      <c r="A848" s="325">
        <f>IF(Info!$J$3&gt;0,Info!$J$3+B848, )</f>
        <v>0</v>
      </c>
      <c r="B848" s="381">
        <v>840</v>
      </c>
      <c r="C848" s="299"/>
      <c r="D848" s="299"/>
      <c r="E848" s="299"/>
      <c r="F848" s="211"/>
      <c r="G848" s="211"/>
      <c r="H848" s="294"/>
      <c r="I848" s="294"/>
      <c r="J848" s="208"/>
      <c r="K848" s="208"/>
    </row>
    <row r="849" spans="1:11" x14ac:dyDescent="0.25">
      <c r="A849" s="326">
        <f>A848</f>
        <v>0</v>
      </c>
      <c r="B849" s="382" t="str">
        <f>Traducción!$B$24&amp;" 120"</f>
        <v>Sem. 120</v>
      </c>
      <c r="C849" s="307">
        <f t="shared" ref="C849:E849" si="414">SUM(C842:C848)</f>
        <v>0</v>
      </c>
      <c r="D849" s="307">
        <f t="shared" si="414"/>
        <v>0</v>
      </c>
      <c r="E849" s="307">
        <f t="shared" si="414"/>
        <v>0</v>
      </c>
      <c r="F849" s="312">
        <f t="shared" ref="F849:G849" si="415">IFERROR(AVERAGE(F842:F848), )</f>
        <v>0</v>
      </c>
      <c r="G849" s="312">
        <f t="shared" si="415"/>
        <v>0</v>
      </c>
      <c r="H849" s="316">
        <f t="shared" ref="H849:I849" si="416">SUM(H842:H848)</f>
        <v>0</v>
      </c>
      <c r="I849" s="316">
        <f t="shared" si="416"/>
        <v>0</v>
      </c>
      <c r="J849" s="329">
        <f t="shared" ref="J849" si="417">IFERROR(AVERAGE(J842:J848), )</f>
        <v>0</v>
      </c>
      <c r="K849" s="224"/>
    </row>
  </sheetData>
  <sheetProtection password="EA71" sheet="1" objects="1" scenarios="1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68" fitToHeight="12" orientation="portrait" horizontalDpi="300" verticalDpi="98" r:id="rId1"/>
  <headerFooter alignWithMargins="0">
    <oddHeader>&amp;C&amp;"Arial,Fett"&amp;16LOHMANN BROWN Classic Layers</oddHeader>
    <oddFooter>&amp;Lltzaf0915&amp;R&amp;12&amp;F, &amp;D</oddFooter>
  </headerFooter>
  <rowBreaks count="1" manualBreakCount="1">
    <brk id="49" max="10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0"/>
  <sheetViews>
    <sheetView zoomScaleNormal="100" workbookViewId="0">
      <pane xSplit="2" ySplit="2" topLeftCell="C51" activePane="bottomRight" state="frozen"/>
      <selection pane="topRight" activeCell="C1" sqref="C1"/>
      <selection pane="bottomLeft" activeCell="A11" sqref="A11"/>
      <selection pane="bottomRight" activeCell="C3" sqref="C3"/>
    </sheetView>
  </sheetViews>
  <sheetFormatPr baseColWidth="10" defaultColWidth="11.44140625" defaultRowHeight="13.2" x14ac:dyDescent="0.25"/>
  <cols>
    <col min="1" max="1" width="9.6640625" style="320" customWidth="1"/>
    <col min="2" max="2" width="8.88671875" style="2" customWidth="1"/>
    <col min="3" max="4" width="10.44140625" style="5" customWidth="1"/>
    <col min="5" max="5" width="10.44140625" style="2" customWidth="1"/>
    <col min="6" max="6" width="10.44140625" style="4" customWidth="1"/>
    <col min="7" max="9" width="10.44140625" style="2" customWidth="1"/>
    <col min="10" max="11" width="10.44140625" style="1" customWidth="1"/>
    <col min="12" max="12" width="10.44140625" style="33" customWidth="1"/>
    <col min="13" max="14" width="10.44140625" style="1" customWidth="1"/>
    <col min="15" max="15" width="10.44140625" style="5" customWidth="1"/>
    <col min="16" max="16" width="25.88671875" style="5" customWidth="1"/>
    <col min="17" max="18" width="7.88671875" style="5" customWidth="1"/>
    <col min="19" max="16384" width="11.44140625" style="5"/>
  </cols>
  <sheetData>
    <row r="1" spans="1:17" ht="22.5" customHeight="1" x14ac:dyDescent="0.25">
      <c r="A1" s="323"/>
      <c r="B1" s="5"/>
      <c r="C1" s="375" t="str">
        <f>Traducción!B19</f>
        <v>Alternativa</v>
      </c>
      <c r="D1" s="376"/>
      <c r="E1" s="375" t="str">
        <f>Traducción!B53</f>
        <v>No. de Huevos o</v>
      </c>
      <c r="F1" s="376"/>
      <c r="G1" s="375" t="str">
        <f>Traducción!B54</f>
        <v>% Producción (A.D.)</v>
      </c>
      <c r="H1" s="376"/>
      <c r="I1" s="377"/>
      <c r="J1" s="377"/>
      <c r="K1" s="378" t="str">
        <f>Traducción!B19</f>
        <v>Alternativa</v>
      </c>
      <c r="L1" s="376"/>
      <c r="M1" s="375" t="str">
        <f>Traducción!B19</f>
        <v>Alternativa</v>
      </c>
      <c r="N1" s="376"/>
      <c r="O1" s="362"/>
      <c r="P1" s="362"/>
    </row>
    <row r="2" spans="1:17" ht="36" x14ac:dyDescent="0.25">
      <c r="A2" s="319" t="str">
        <f>Traducción!B20</f>
        <v>Fecha</v>
      </c>
      <c r="B2" s="227" t="str">
        <f>Traducción!B22</f>
        <v>Sem.   de vida</v>
      </c>
      <c r="C2" s="228" t="str">
        <f>Traducción!B26</f>
        <v>No. de Aves Muertas</v>
      </c>
      <c r="D2" s="228" t="str">
        <f>Traducción!B27</f>
        <v>% Mort. / Sem.</v>
      </c>
      <c r="E2" s="228" t="str">
        <f>Traducción!B48</f>
        <v>No. Huevos / Sem.</v>
      </c>
      <c r="F2" s="228" t="str">
        <f>Traducción!B51</f>
        <v>No. Huevos de 2a / Sem.</v>
      </c>
      <c r="G2" s="228" t="str">
        <f>Traducción!B55</f>
        <v>% Prod. / A.D.</v>
      </c>
      <c r="H2" s="228" t="str">
        <f>Traducción!$B$56</f>
        <v>% Huevos de 2a</v>
      </c>
      <c r="I2" s="228" t="str">
        <f>Traducción!B52</f>
        <v>Peso de Huevo (g)</v>
      </c>
      <c r="J2" s="228" t="str">
        <f>Traducción!B28</f>
        <v>Peso Corporal (g)</v>
      </c>
      <c r="K2" s="228" t="str">
        <f>Traducción!B30</f>
        <v>Consumo de Pienso (kg/sem.)</v>
      </c>
      <c r="L2" s="228" t="str">
        <f>Traducción!B31</f>
        <v>Consumo de Alimento (g/ave/d)</v>
      </c>
      <c r="M2" s="228" t="str">
        <f>Traducción!B33</f>
        <v>Consumo de Agua (l/sem.)</v>
      </c>
      <c r="N2" s="228" t="str">
        <f>Traducción!B34</f>
        <v>Consumo de Agua (ml/ave/d)</v>
      </c>
      <c r="O2" s="46" t="str">
        <f>Traducción!B36</f>
        <v>Otro parám.</v>
      </c>
      <c r="P2" s="228" t="str">
        <f>Traducción!B15</f>
        <v>Observaciones:</v>
      </c>
      <c r="Q2" s="47" t="s">
        <v>11</v>
      </c>
    </row>
    <row r="3" spans="1:17" x14ac:dyDescent="0.25">
      <c r="A3" s="229">
        <f>IF(Info!$J$29&gt;0,'Entrada Prod (diario)'!$A$9, )</f>
        <v>0</v>
      </c>
      <c r="B3" s="335">
        <v>15</v>
      </c>
      <c r="C3" s="231">
        <f>'Entrada Prod (diario)'!$C$9</f>
        <v>0</v>
      </c>
      <c r="D3" s="39"/>
      <c r="E3" s="299">
        <f>'Entrada Prod (diario)'!$D$9</f>
        <v>0</v>
      </c>
      <c r="F3" s="299">
        <f>'Entrada Prod (diario)'!$E$9</f>
        <v>0</v>
      </c>
      <c r="G3" s="39"/>
      <c r="H3" s="39"/>
      <c r="I3" s="211">
        <f>'Entrada Prod (diario)'!$F$9</f>
        <v>0</v>
      </c>
      <c r="J3" s="211">
        <f>'Entrada Prod (diario)'!$G$9</f>
        <v>0</v>
      </c>
      <c r="K3" s="299">
        <f>'Entrada Prod (diario)'!$H$9</f>
        <v>0</v>
      </c>
      <c r="L3" s="330"/>
      <c r="M3" s="299">
        <f>'Entrada Prod (diario)'!$I$9</f>
        <v>0</v>
      </c>
      <c r="N3" s="330"/>
      <c r="O3" s="231">
        <f>'Entrada Prod (diario)'!$J$9</f>
        <v>0</v>
      </c>
      <c r="P3" s="174"/>
      <c r="Q3" s="47">
        <v>105</v>
      </c>
    </row>
    <row r="4" spans="1:17" x14ac:dyDescent="0.25">
      <c r="A4" s="229">
        <f>IF(Info!$J$29&gt;0,A3+7, )</f>
        <v>0</v>
      </c>
      <c r="B4" s="335">
        <v>16</v>
      </c>
      <c r="C4" s="231">
        <f>'Entrada Prod (diario)'!$C$17</f>
        <v>0</v>
      </c>
      <c r="D4" s="39"/>
      <c r="E4" s="299">
        <f>'Entrada Prod (diario)'!$D$17</f>
        <v>0</v>
      </c>
      <c r="F4" s="299">
        <f>'Entrada Prod (diario)'!$E$17</f>
        <v>0</v>
      </c>
      <c r="G4" s="39"/>
      <c r="H4" s="39"/>
      <c r="I4" s="211">
        <f>'Entrada Prod (diario)'!$F$17</f>
        <v>0</v>
      </c>
      <c r="J4" s="211">
        <f>'Entrada Prod (diario)'!$G$17</f>
        <v>0</v>
      </c>
      <c r="K4" s="299">
        <f>'Entrada Prod (diario)'!$H$17</f>
        <v>0</v>
      </c>
      <c r="L4" s="330"/>
      <c r="M4" s="299">
        <f>'Entrada Prod (diario)'!$I$17</f>
        <v>0</v>
      </c>
      <c r="N4" s="330"/>
      <c r="O4" s="231">
        <f>'Entrada Prod (diario)'!$J$17</f>
        <v>0</v>
      </c>
      <c r="P4" s="174"/>
      <c r="Q4" s="47">
        <v>112</v>
      </c>
    </row>
    <row r="5" spans="1:17" x14ac:dyDescent="0.25">
      <c r="A5" s="229">
        <f>IF(Info!$J$29&gt;0,A4+7, )</f>
        <v>0</v>
      </c>
      <c r="B5" s="335">
        <v>17</v>
      </c>
      <c r="C5" s="231">
        <f>'Entrada Prod (diario)'!$C$25</f>
        <v>0</v>
      </c>
      <c r="D5" s="39"/>
      <c r="E5" s="299">
        <f>'Entrada Prod (diario)'!$D$25</f>
        <v>0</v>
      </c>
      <c r="F5" s="299">
        <f>'Entrada Prod (diario)'!$E$25</f>
        <v>0</v>
      </c>
      <c r="G5" s="39"/>
      <c r="H5" s="39"/>
      <c r="I5" s="211">
        <f>'Entrada Prod (diario)'!$F$25</f>
        <v>0</v>
      </c>
      <c r="J5" s="211">
        <f>'Entrada Prod (diario)'!$G$25</f>
        <v>0</v>
      </c>
      <c r="K5" s="299">
        <f>'Entrada Prod (diario)'!$H$25</f>
        <v>0</v>
      </c>
      <c r="L5" s="330"/>
      <c r="M5" s="299">
        <f>'Entrada Prod (diario)'!$I$25</f>
        <v>0</v>
      </c>
      <c r="N5" s="330"/>
      <c r="O5" s="231">
        <f>'Entrada Prod (diario)'!$J$25</f>
        <v>0</v>
      </c>
      <c r="P5" s="174"/>
      <c r="Q5" s="47">
        <v>119</v>
      </c>
    </row>
    <row r="6" spans="1:17" x14ac:dyDescent="0.25">
      <c r="A6" s="229">
        <f>IF(Info!$J$29&gt;0,A5+7, )</f>
        <v>0</v>
      </c>
      <c r="B6" s="335">
        <v>18</v>
      </c>
      <c r="C6" s="231">
        <f>'Entrada Prod (diario)'!$C$33</f>
        <v>0</v>
      </c>
      <c r="D6" s="39"/>
      <c r="E6" s="299">
        <f>'Entrada Prod (diario)'!$D$33</f>
        <v>0</v>
      </c>
      <c r="F6" s="299">
        <f>'Entrada Prod (diario)'!$E$33</f>
        <v>0</v>
      </c>
      <c r="G6" s="39"/>
      <c r="H6" s="39"/>
      <c r="I6" s="211">
        <f>'Entrada Prod (diario)'!$F$33</f>
        <v>0</v>
      </c>
      <c r="J6" s="211">
        <f>'Entrada Prod (diario)'!$G$33</f>
        <v>0</v>
      </c>
      <c r="K6" s="299">
        <f>'Entrada Prod (diario)'!$H$33</f>
        <v>0</v>
      </c>
      <c r="L6" s="330"/>
      <c r="M6" s="299">
        <f>'Entrada Prod (diario)'!$I$33</f>
        <v>0</v>
      </c>
      <c r="N6" s="330"/>
      <c r="O6" s="231">
        <f>'Entrada Prod (diario)'!$J$33</f>
        <v>0</v>
      </c>
      <c r="P6" s="174"/>
      <c r="Q6" s="47">
        <v>126</v>
      </c>
    </row>
    <row r="7" spans="1:17" x14ac:dyDescent="0.25">
      <c r="A7" s="229">
        <f>IF(Info!$J$29&gt;0,A6+7, )</f>
        <v>0</v>
      </c>
      <c r="B7" s="335">
        <v>19</v>
      </c>
      <c r="C7" s="231">
        <f>'Entrada Prod (diario)'!$C$41</f>
        <v>0</v>
      </c>
      <c r="D7" s="39"/>
      <c r="E7" s="299">
        <f>'Entrada Prod (diario)'!$D$41</f>
        <v>0</v>
      </c>
      <c r="F7" s="299">
        <f>'Entrada Prod (diario)'!$E$41</f>
        <v>0</v>
      </c>
      <c r="G7" s="39"/>
      <c r="H7" s="39"/>
      <c r="I7" s="211">
        <f>'Entrada Prod (diario)'!$F$41</f>
        <v>0</v>
      </c>
      <c r="J7" s="211">
        <f>'Entrada Prod (diario)'!$G$41</f>
        <v>0</v>
      </c>
      <c r="K7" s="299">
        <f>'Entrada Prod (diario)'!$H$41</f>
        <v>0</v>
      </c>
      <c r="L7" s="330"/>
      <c r="M7" s="299">
        <f>'Entrada Prod (diario)'!$I$41</f>
        <v>0</v>
      </c>
      <c r="N7" s="330"/>
      <c r="O7" s="231">
        <f>'Entrada Prod (diario)'!$J$41</f>
        <v>0</v>
      </c>
      <c r="P7" s="174"/>
      <c r="Q7" s="47">
        <v>133</v>
      </c>
    </row>
    <row r="8" spans="1:17" x14ac:dyDescent="0.25">
      <c r="A8" s="229">
        <f>IF(Info!$J$29&gt;0,A7+7, )</f>
        <v>0</v>
      </c>
      <c r="B8" s="335">
        <v>20</v>
      </c>
      <c r="C8" s="231">
        <f>'Entrada Prod (diario)'!$C$49</f>
        <v>0</v>
      </c>
      <c r="D8" s="39"/>
      <c r="E8" s="299">
        <f>'Entrada Prod (diario)'!$D$49</f>
        <v>0</v>
      </c>
      <c r="F8" s="299">
        <f>'Entrada Prod (diario)'!$E$49</f>
        <v>0</v>
      </c>
      <c r="G8" s="39"/>
      <c r="H8" s="39"/>
      <c r="I8" s="211">
        <f>'Entrada Prod (diario)'!$F$49</f>
        <v>0</v>
      </c>
      <c r="J8" s="211">
        <f>'Entrada Prod (diario)'!$G$49</f>
        <v>0</v>
      </c>
      <c r="K8" s="299">
        <f>'Entrada Prod (diario)'!$H$49</f>
        <v>0</v>
      </c>
      <c r="L8" s="330"/>
      <c r="M8" s="299">
        <f>'Entrada Prod (diario)'!$I$49</f>
        <v>0</v>
      </c>
      <c r="N8" s="330"/>
      <c r="O8" s="231">
        <f>'Entrada Prod (diario)'!$J$49</f>
        <v>0</v>
      </c>
      <c r="P8" s="174"/>
      <c r="Q8" s="47">
        <v>140</v>
      </c>
    </row>
    <row r="9" spans="1:17" x14ac:dyDescent="0.25">
      <c r="A9" s="229">
        <f>IF(Info!$J$29&gt;0,A8+7, )</f>
        <v>0</v>
      </c>
      <c r="B9" s="335">
        <v>21</v>
      </c>
      <c r="C9" s="231">
        <f>'Entrada Prod (diario)'!$C$57</f>
        <v>0</v>
      </c>
      <c r="D9" s="39"/>
      <c r="E9" s="299">
        <f>'Entrada Prod (diario)'!$D$57</f>
        <v>0</v>
      </c>
      <c r="F9" s="299">
        <f>'Entrada Prod (diario)'!$E$57</f>
        <v>0</v>
      </c>
      <c r="G9" s="39"/>
      <c r="H9" s="39"/>
      <c r="I9" s="211">
        <f>'Entrada Prod (diario)'!$F$57</f>
        <v>0</v>
      </c>
      <c r="J9" s="211">
        <f>'Entrada Prod (diario)'!$G$57</f>
        <v>0</v>
      </c>
      <c r="K9" s="299">
        <f>'Entrada Prod (diario)'!$H$57</f>
        <v>0</v>
      </c>
      <c r="L9" s="330"/>
      <c r="M9" s="299">
        <f>'Entrada Prod (diario)'!$I$57</f>
        <v>0</v>
      </c>
      <c r="N9" s="330"/>
      <c r="O9" s="231">
        <f>'Entrada Prod (diario)'!$J$57</f>
        <v>0</v>
      </c>
      <c r="P9" s="174"/>
      <c r="Q9" s="47">
        <v>147</v>
      </c>
    </row>
    <row r="10" spans="1:17" x14ac:dyDescent="0.25">
      <c r="A10" s="229">
        <f>IF(Info!$J$29&gt;0,A9+7, )</f>
        <v>0</v>
      </c>
      <c r="B10" s="335">
        <v>22</v>
      </c>
      <c r="C10" s="231">
        <f>'Entrada Prod (diario)'!$C$65</f>
        <v>0</v>
      </c>
      <c r="D10" s="39"/>
      <c r="E10" s="299">
        <f>'Entrada Prod (diario)'!$D$65</f>
        <v>0</v>
      </c>
      <c r="F10" s="299">
        <f>'Entrada Prod (diario)'!$E$65</f>
        <v>0</v>
      </c>
      <c r="G10" s="39"/>
      <c r="H10" s="39"/>
      <c r="I10" s="211">
        <f>'Entrada Prod (diario)'!$F$65</f>
        <v>0</v>
      </c>
      <c r="J10" s="211">
        <f>'Entrada Prod (diario)'!$G$65</f>
        <v>0</v>
      </c>
      <c r="K10" s="299">
        <f>'Entrada Prod (diario)'!$H$65</f>
        <v>0</v>
      </c>
      <c r="L10" s="330"/>
      <c r="M10" s="299">
        <f>'Entrada Prod (diario)'!$I$65</f>
        <v>0</v>
      </c>
      <c r="N10" s="330"/>
      <c r="O10" s="231">
        <f>'Entrada Prod (diario)'!$J$65</f>
        <v>0</v>
      </c>
      <c r="P10" s="174"/>
      <c r="Q10" s="47">
        <v>154</v>
      </c>
    </row>
    <row r="11" spans="1:17" x14ac:dyDescent="0.25">
      <c r="A11" s="229">
        <f>IF(Info!$J$29&gt;0,A10+7, )</f>
        <v>0</v>
      </c>
      <c r="B11" s="335">
        <v>23</v>
      </c>
      <c r="C11" s="231">
        <f>'Entrada Prod (diario)'!$C$73</f>
        <v>0</v>
      </c>
      <c r="D11" s="39"/>
      <c r="E11" s="299">
        <f>'Entrada Prod (diario)'!$D$73</f>
        <v>0</v>
      </c>
      <c r="F11" s="299">
        <f>'Entrada Prod (diario)'!$E$73</f>
        <v>0</v>
      </c>
      <c r="G11" s="39"/>
      <c r="H11" s="39"/>
      <c r="I11" s="211">
        <f>'Entrada Prod (diario)'!$F$73</f>
        <v>0</v>
      </c>
      <c r="J11" s="211">
        <f>'Entrada Prod (diario)'!$G$73</f>
        <v>0</v>
      </c>
      <c r="K11" s="299">
        <f>'Entrada Prod (diario)'!$H$73</f>
        <v>0</v>
      </c>
      <c r="L11" s="330"/>
      <c r="M11" s="299">
        <f>'Entrada Prod (diario)'!$I$73</f>
        <v>0</v>
      </c>
      <c r="N11" s="330"/>
      <c r="O11" s="231">
        <f>'Entrada Prod (diario)'!$J$73</f>
        <v>0</v>
      </c>
      <c r="P11" s="174"/>
      <c r="Q11" s="47">
        <v>161</v>
      </c>
    </row>
    <row r="12" spans="1:17" x14ac:dyDescent="0.25">
      <c r="A12" s="229">
        <f>IF(Info!$J$29&gt;0,A11+7, )</f>
        <v>0</v>
      </c>
      <c r="B12" s="335">
        <v>24</v>
      </c>
      <c r="C12" s="231">
        <f>'Entrada Prod (diario)'!$C$81</f>
        <v>0</v>
      </c>
      <c r="D12" s="39"/>
      <c r="E12" s="299">
        <f>'Entrada Prod (diario)'!$D$81</f>
        <v>0</v>
      </c>
      <c r="F12" s="299">
        <f>'Entrada Prod (diario)'!$E$81</f>
        <v>0</v>
      </c>
      <c r="G12" s="39"/>
      <c r="H12" s="39"/>
      <c r="I12" s="211">
        <f>'Entrada Prod (diario)'!$F$81</f>
        <v>0</v>
      </c>
      <c r="J12" s="211">
        <f>'Entrada Prod (diario)'!$G$81</f>
        <v>0</v>
      </c>
      <c r="K12" s="299">
        <f>'Entrada Prod (diario)'!$H$81</f>
        <v>0</v>
      </c>
      <c r="L12" s="330"/>
      <c r="M12" s="299">
        <f>'Entrada Prod (diario)'!$I$81</f>
        <v>0</v>
      </c>
      <c r="N12" s="330"/>
      <c r="O12" s="231">
        <f>'Entrada Prod (diario)'!$J$81</f>
        <v>0</v>
      </c>
      <c r="P12" s="174"/>
      <c r="Q12" s="47">
        <v>168</v>
      </c>
    </row>
    <row r="13" spans="1:17" x14ac:dyDescent="0.25">
      <c r="A13" s="229">
        <f>IF(Info!$J$29&gt;0,A12+7, )</f>
        <v>0</v>
      </c>
      <c r="B13" s="335">
        <v>25</v>
      </c>
      <c r="C13" s="231">
        <f>'Entrada Prod (diario)'!$C$89</f>
        <v>0</v>
      </c>
      <c r="D13" s="39"/>
      <c r="E13" s="299">
        <f>'Entrada Prod (diario)'!$D$89</f>
        <v>0</v>
      </c>
      <c r="F13" s="299">
        <f>'Entrada Prod (diario)'!$E$89</f>
        <v>0</v>
      </c>
      <c r="G13" s="39"/>
      <c r="H13" s="39"/>
      <c r="I13" s="211">
        <f>'Entrada Prod (diario)'!$F$89</f>
        <v>0</v>
      </c>
      <c r="J13" s="211">
        <f>'Entrada Prod (diario)'!$G$89</f>
        <v>0</v>
      </c>
      <c r="K13" s="299">
        <f>'Entrada Prod (diario)'!$H$89</f>
        <v>0</v>
      </c>
      <c r="L13" s="330"/>
      <c r="M13" s="299">
        <f>'Entrada Prod (diario)'!$I$89</f>
        <v>0</v>
      </c>
      <c r="N13" s="330"/>
      <c r="O13" s="231">
        <f>'Entrada Prod (diario)'!$J$89</f>
        <v>0</v>
      </c>
      <c r="P13" s="174"/>
      <c r="Q13" s="47">
        <v>175</v>
      </c>
    </row>
    <row r="14" spans="1:17" x14ac:dyDescent="0.25">
      <c r="A14" s="229">
        <f>IF(Info!$J$29&gt;0,A13+7, )</f>
        <v>0</v>
      </c>
      <c r="B14" s="335">
        <v>26</v>
      </c>
      <c r="C14" s="231">
        <f>'Entrada Prod (diario)'!$C$97</f>
        <v>0</v>
      </c>
      <c r="D14" s="39"/>
      <c r="E14" s="299">
        <f>'Entrada Prod (diario)'!$D$97</f>
        <v>0</v>
      </c>
      <c r="F14" s="299">
        <f>'Entrada Prod (diario)'!$E$97</f>
        <v>0</v>
      </c>
      <c r="G14" s="39"/>
      <c r="H14" s="39"/>
      <c r="I14" s="211">
        <f>'Entrada Prod (diario)'!$F$97</f>
        <v>0</v>
      </c>
      <c r="J14" s="211">
        <f>'Entrada Prod (diario)'!$G$97</f>
        <v>0</v>
      </c>
      <c r="K14" s="299">
        <f>'Entrada Prod (diario)'!$H$97</f>
        <v>0</v>
      </c>
      <c r="L14" s="330"/>
      <c r="M14" s="299">
        <f>'Entrada Prod (diario)'!$I$97</f>
        <v>0</v>
      </c>
      <c r="N14" s="330"/>
      <c r="O14" s="231">
        <f>'Entrada Prod (diario)'!$J$97</f>
        <v>0</v>
      </c>
      <c r="P14" s="174"/>
      <c r="Q14" s="47">
        <v>182</v>
      </c>
    </row>
    <row r="15" spans="1:17" x14ac:dyDescent="0.25">
      <c r="A15" s="229">
        <f>IF(Info!$J$29&gt;0,A14+7, )</f>
        <v>0</v>
      </c>
      <c r="B15" s="335">
        <v>27</v>
      </c>
      <c r="C15" s="231">
        <f>'Entrada Prod (diario)'!$C$105</f>
        <v>0</v>
      </c>
      <c r="D15" s="39"/>
      <c r="E15" s="299">
        <f>'Entrada Prod (diario)'!$D$105</f>
        <v>0</v>
      </c>
      <c r="F15" s="299">
        <f>'Entrada Prod (diario)'!$E$105</f>
        <v>0</v>
      </c>
      <c r="G15" s="39"/>
      <c r="H15" s="39"/>
      <c r="I15" s="211">
        <f>'Entrada Prod (diario)'!$F$105</f>
        <v>0</v>
      </c>
      <c r="J15" s="211">
        <f>'Entrada Prod (diario)'!$G$105</f>
        <v>0</v>
      </c>
      <c r="K15" s="299">
        <f>'Entrada Prod (diario)'!$H$105</f>
        <v>0</v>
      </c>
      <c r="L15" s="330"/>
      <c r="M15" s="299">
        <f>'Entrada Prod (diario)'!$I$105</f>
        <v>0</v>
      </c>
      <c r="N15" s="330"/>
      <c r="O15" s="231">
        <f>'Entrada Prod (diario)'!$J$105</f>
        <v>0</v>
      </c>
      <c r="P15" s="174"/>
      <c r="Q15" s="47">
        <v>189</v>
      </c>
    </row>
    <row r="16" spans="1:17" x14ac:dyDescent="0.25">
      <c r="A16" s="229">
        <f>IF(Info!$J$29&gt;0,A15+7, )</f>
        <v>0</v>
      </c>
      <c r="B16" s="335">
        <v>28</v>
      </c>
      <c r="C16" s="231">
        <f>'Entrada Prod (diario)'!$C$113</f>
        <v>0</v>
      </c>
      <c r="D16" s="39"/>
      <c r="E16" s="299">
        <f>'Entrada Prod (diario)'!$D$113</f>
        <v>0</v>
      </c>
      <c r="F16" s="299">
        <f>'Entrada Prod (diario)'!$E$113</f>
        <v>0</v>
      </c>
      <c r="G16" s="39"/>
      <c r="H16" s="39"/>
      <c r="I16" s="211">
        <f>'Entrada Prod (diario)'!$F$113</f>
        <v>0</v>
      </c>
      <c r="J16" s="211">
        <f>'Entrada Prod (diario)'!$G$113</f>
        <v>0</v>
      </c>
      <c r="K16" s="299">
        <f>'Entrada Prod (diario)'!$H$113</f>
        <v>0</v>
      </c>
      <c r="L16" s="330"/>
      <c r="M16" s="299">
        <f>'Entrada Prod (diario)'!$I$113</f>
        <v>0</v>
      </c>
      <c r="N16" s="330"/>
      <c r="O16" s="231">
        <f>'Entrada Prod (diario)'!$J$113</f>
        <v>0</v>
      </c>
      <c r="P16" s="174"/>
      <c r="Q16" s="47">
        <v>196</v>
      </c>
    </row>
    <row r="17" spans="1:17" x14ac:dyDescent="0.25">
      <c r="A17" s="229">
        <f>IF(Info!$J$29&gt;0,A16+7, )</f>
        <v>0</v>
      </c>
      <c r="B17" s="335">
        <v>29</v>
      </c>
      <c r="C17" s="231">
        <f>'Entrada Prod (diario)'!$C$121</f>
        <v>0</v>
      </c>
      <c r="D17" s="39"/>
      <c r="E17" s="299">
        <f>'Entrada Prod (diario)'!$D$121</f>
        <v>0</v>
      </c>
      <c r="F17" s="299">
        <f>'Entrada Prod (diario)'!$E$121</f>
        <v>0</v>
      </c>
      <c r="G17" s="39"/>
      <c r="H17" s="39"/>
      <c r="I17" s="211">
        <f>'Entrada Prod (diario)'!$F$121</f>
        <v>0</v>
      </c>
      <c r="J17" s="211">
        <f>'Entrada Prod (diario)'!$G$121</f>
        <v>0</v>
      </c>
      <c r="K17" s="299">
        <f>'Entrada Prod (diario)'!$H$121</f>
        <v>0</v>
      </c>
      <c r="L17" s="330"/>
      <c r="M17" s="299">
        <f>'Entrada Prod (diario)'!$I$121</f>
        <v>0</v>
      </c>
      <c r="N17" s="330"/>
      <c r="O17" s="231">
        <f>'Entrada Prod (diario)'!$J$121</f>
        <v>0</v>
      </c>
      <c r="P17" s="174"/>
      <c r="Q17" s="47">
        <v>203</v>
      </c>
    </row>
    <row r="18" spans="1:17" x14ac:dyDescent="0.25">
      <c r="A18" s="229">
        <f>IF(Info!$J$29&gt;0,A17+7, )</f>
        <v>0</v>
      </c>
      <c r="B18" s="335">
        <v>30</v>
      </c>
      <c r="C18" s="231">
        <f>'Entrada Prod (diario)'!$C$129</f>
        <v>0</v>
      </c>
      <c r="D18" s="39"/>
      <c r="E18" s="299">
        <f>'Entrada Prod (diario)'!$D$129</f>
        <v>0</v>
      </c>
      <c r="F18" s="299">
        <f>'Entrada Prod (diario)'!$E$129</f>
        <v>0</v>
      </c>
      <c r="G18" s="39"/>
      <c r="H18" s="39"/>
      <c r="I18" s="211">
        <f>'Entrada Prod (diario)'!$F$129</f>
        <v>0</v>
      </c>
      <c r="J18" s="211">
        <f>'Entrada Prod (diario)'!$G$129</f>
        <v>0</v>
      </c>
      <c r="K18" s="299">
        <f>'Entrada Prod (diario)'!$H$129</f>
        <v>0</v>
      </c>
      <c r="L18" s="330"/>
      <c r="M18" s="299">
        <f>'Entrada Prod (diario)'!$I$129</f>
        <v>0</v>
      </c>
      <c r="N18" s="330"/>
      <c r="O18" s="231">
        <f>'Entrada Prod (diario)'!$J$129</f>
        <v>0</v>
      </c>
      <c r="P18" s="174"/>
      <c r="Q18" s="47">
        <v>210</v>
      </c>
    </row>
    <row r="19" spans="1:17" x14ac:dyDescent="0.25">
      <c r="A19" s="229">
        <f>IF(Info!$J$29&gt;0,A18+7, )</f>
        <v>0</v>
      </c>
      <c r="B19" s="335">
        <v>31</v>
      </c>
      <c r="C19" s="231">
        <f>'Entrada Prod (diario)'!$C$137</f>
        <v>0</v>
      </c>
      <c r="D19" s="39"/>
      <c r="E19" s="299">
        <f>'Entrada Prod (diario)'!$D$137</f>
        <v>0</v>
      </c>
      <c r="F19" s="299">
        <f>'Entrada Prod (diario)'!$E$137</f>
        <v>0</v>
      </c>
      <c r="G19" s="39"/>
      <c r="H19" s="39"/>
      <c r="I19" s="211">
        <f>'Entrada Prod (diario)'!$F$137</f>
        <v>0</v>
      </c>
      <c r="J19" s="211">
        <f>'Entrada Prod (diario)'!$G$137</f>
        <v>0</v>
      </c>
      <c r="K19" s="299">
        <f>'Entrada Prod (diario)'!$H$137</f>
        <v>0</v>
      </c>
      <c r="L19" s="330"/>
      <c r="M19" s="299">
        <f>'Entrada Prod (diario)'!$I$137</f>
        <v>0</v>
      </c>
      <c r="N19" s="330"/>
      <c r="O19" s="231">
        <f>'Entrada Prod (diario)'!$J$137</f>
        <v>0</v>
      </c>
      <c r="P19" s="174"/>
      <c r="Q19" s="47">
        <v>217</v>
      </c>
    </row>
    <row r="20" spans="1:17" x14ac:dyDescent="0.25">
      <c r="A20" s="229">
        <f>IF(Info!$J$29&gt;0,A19+7, )</f>
        <v>0</v>
      </c>
      <c r="B20" s="335">
        <v>32</v>
      </c>
      <c r="C20" s="231">
        <f>'Entrada Prod (diario)'!$C$145</f>
        <v>0</v>
      </c>
      <c r="D20" s="39"/>
      <c r="E20" s="299">
        <f>'Entrada Prod (diario)'!$D$145</f>
        <v>0</v>
      </c>
      <c r="F20" s="299">
        <f>'Entrada Prod (diario)'!$E$145</f>
        <v>0</v>
      </c>
      <c r="G20" s="39"/>
      <c r="H20" s="39"/>
      <c r="I20" s="211">
        <f>'Entrada Prod (diario)'!$F$145</f>
        <v>0</v>
      </c>
      <c r="J20" s="211">
        <f>'Entrada Prod (diario)'!$G$145</f>
        <v>0</v>
      </c>
      <c r="K20" s="299">
        <f>'Entrada Prod (diario)'!$H$145</f>
        <v>0</v>
      </c>
      <c r="L20" s="330"/>
      <c r="M20" s="299">
        <f>'Entrada Prod (diario)'!$I$145</f>
        <v>0</v>
      </c>
      <c r="N20" s="330"/>
      <c r="O20" s="231">
        <f>'Entrada Prod (diario)'!$J$145</f>
        <v>0</v>
      </c>
      <c r="P20" s="174"/>
      <c r="Q20" s="47">
        <v>224</v>
      </c>
    </row>
    <row r="21" spans="1:17" x14ac:dyDescent="0.25">
      <c r="A21" s="229">
        <f>IF(Info!$J$29&gt;0,A20+7, )</f>
        <v>0</v>
      </c>
      <c r="B21" s="335">
        <v>33</v>
      </c>
      <c r="C21" s="231">
        <f>'Entrada Prod (diario)'!$C$153</f>
        <v>0</v>
      </c>
      <c r="D21" s="39"/>
      <c r="E21" s="299">
        <f>'Entrada Prod (diario)'!$D$153</f>
        <v>0</v>
      </c>
      <c r="F21" s="299">
        <f>'Entrada Prod (diario)'!$E$153</f>
        <v>0</v>
      </c>
      <c r="G21" s="39"/>
      <c r="H21" s="39"/>
      <c r="I21" s="211">
        <f>'Entrada Prod (diario)'!$F$153</f>
        <v>0</v>
      </c>
      <c r="J21" s="211">
        <f>'Entrada Prod (diario)'!$G$153</f>
        <v>0</v>
      </c>
      <c r="K21" s="299">
        <f>'Entrada Prod (diario)'!$H$153</f>
        <v>0</v>
      </c>
      <c r="L21" s="330"/>
      <c r="M21" s="299">
        <f>'Entrada Prod (diario)'!$I$153</f>
        <v>0</v>
      </c>
      <c r="N21" s="330"/>
      <c r="O21" s="231">
        <f>'Entrada Prod (diario)'!$J$153</f>
        <v>0</v>
      </c>
      <c r="P21" s="174"/>
      <c r="Q21" s="47">
        <v>231</v>
      </c>
    </row>
    <row r="22" spans="1:17" x14ac:dyDescent="0.25">
      <c r="A22" s="229">
        <f>IF(Info!$J$29&gt;0,A21+7, )</f>
        <v>0</v>
      </c>
      <c r="B22" s="335">
        <v>34</v>
      </c>
      <c r="C22" s="231">
        <f>'Entrada Prod (diario)'!$C$161</f>
        <v>0</v>
      </c>
      <c r="D22" s="39"/>
      <c r="E22" s="299">
        <f>'Entrada Prod (diario)'!$D$161</f>
        <v>0</v>
      </c>
      <c r="F22" s="299">
        <f>'Entrada Prod (diario)'!$E$161</f>
        <v>0</v>
      </c>
      <c r="G22" s="39"/>
      <c r="H22" s="39"/>
      <c r="I22" s="211">
        <f>'Entrada Prod (diario)'!$F$161</f>
        <v>0</v>
      </c>
      <c r="J22" s="211">
        <f>'Entrada Prod (diario)'!$G$161</f>
        <v>0</v>
      </c>
      <c r="K22" s="299">
        <f>'Entrada Prod (diario)'!$H$161</f>
        <v>0</v>
      </c>
      <c r="L22" s="330"/>
      <c r="M22" s="299">
        <f>'Entrada Prod (diario)'!$I$161</f>
        <v>0</v>
      </c>
      <c r="N22" s="330"/>
      <c r="O22" s="231">
        <f>'Entrada Prod (diario)'!$J$161</f>
        <v>0</v>
      </c>
      <c r="P22" s="174"/>
      <c r="Q22" s="47">
        <v>238</v>
      </c>
    </row>
    <row r="23" spans="1:17" x14ac:dyDescent="0.25">
      <c r="A23" s="229">
        <f>IF(Info!$J$29&gt;0,A22+7, )</f>
        <v>0</v>
      </c>
      <c r="B23" s="335">
        <v>35</v>
      </c>
      <c r="C23" s="231">
        <f>'Entrada Prod (diario)'!$C$169</f>
        <v>0</v>
      </c>
      <c r="D23" s="39"/>
      <c r="E23" s="299">
        <f>'Entrada Prod (diario)'!$D$169</f>
        <v>0</v>
      </c>
      <c r="F23" s="299">
        <f>'Entrada Prod (diario)'!$E$169</f>
        <v>0</v>
      </c>
      <c r="G23" s="39"/>
      <c r="H23" s="39"/>
      <c r="I23" s="211">
        <f>'Entrada Prod (diario)'!$F$169</f>
        <v>0</v>
      </c>
      <c r="J23" s="211">
        <f>'Entrada Prod (diario)'!$G$169</f>
        <v>0</v>
      </c>
      <c r="K23" s="299">
        <f>'Entrada Prod (diario)'!$H$169</f>
        <v>0</v>
      </c>
      <c r="L23" s="330"/>
      <c r="M23" s="299">
        <f>'Entrada Prod (diario)'!$I$169</f>
        <v>0</v>
      </c>
      <c r="N23" s="330"/>
      <c r="O23" s="231">
        <f>'Entrada Prod (diario)'!$J$169</f>
        <v>0</v>
      </c>
      <c r="P23" s="174"/>
      <c r="Q23" s="47">
        <v>245</v>
      </c>
    </row>
    <row r="24" spans="1:17" x14ac:dyDescent="0.25">
      <c r="A24" s="229">
        <f>IF(Info!$J$29&gt;0,A23+7, )</f>
        <v>0</v>
      </c>
      <c r="B24" s="335">
        <v>36</v>
      </c>
      <c r="C24" s="231">
        <f>'Entrada Prod (diario)'!$C$177</f>
        <v>0</v>
      </c>
      <c r="D24" s="39"/>
      <c r="E24" s="299">
        <f>'Entrada Prod (diario)'!$D$177</f>
        <v>0</v>
      </c>
      <c r="F24" s="299">
        <f>'Entrada Prod (diario)'!$E$177</f>
        <v>0</v>
      </c>
      <c r="G24" s="39"/>
      <c r="H24" s="39"/>
      <c r="I24" s="211">
        <f>'Entrada Prod (diario)'!$F$177</f>
        <v>0</v>
      </c>
      <c r="J24" s="211">
        <f>'Entrada Prod (diario)'!$G$177</f>
        <v>0</v>
      </c>
      <c r="K24" s="299">
        <f>'Entrada Prod (diario)'!$H$177</f>
        <v>0</v>
      </c>
      <c r="L24" s="330"/>
      <c r="M24" s="299">
        <f>'Entrada Prod (diario)'!$I$177</f>
        <v>0</v>
      </c>
      <c r="N24" s="330"/>
      <c r="O24" s="231">
        <f>'Entrada Prod (diario)'!$J$177</f>
        <v>0</v>
      </c>
      <c r="P24" s="174"/>
      <c r="Q24" s="47">
        <v>252</v>
      </c>
    </row>
    <row r="25" spans="1:17" x14ac:dyDescent="0.25">
      <c r="A25" s="229">
        <f>IF(Info!$J$29&gt;0,A24+7, )</f>
        <v>0</v>
      </c>
      <c r="B25" s="335">
        <v>37</v>
      </c>
      <c r="C25" s="231">
        <f>'Entrada Prod (diario)'!$C$185</f>
        <v>0</v>
      </c>
      <c r="D25" s="39"/>
      <c r="E25" s="299">
        <f>'Entrada Prod (diario)'!$D$185</f>
        <v>0</v>
      </c>
      <c r="F25" s="299">
        <f>'Entrada Prod (diario)'!$E$185</f>
        <v>0</v>
      </c>
      <c r="G25" s="39"/>
      <c r="H25" s="39"/>
      <c r="I25" s="211">
        <f>'Entrada Prod (diario)'!$F$185</f>
        <v>0</v>
      </c>
      <c r="J25" s="211">
        <f>'Entrada Prod (diario)'!$G$185</f>
        <v>0</v>
      </c>
      <c r="K25" s="299">
        <f>'Entrada Prod (diario)'!$H$185</f>
        <v>0</v>
      </c>
      <c r="L25" s="330"/>
      <c r="M25" s="299">
        <f>'Entrada Prod (diario)'!$I$185</f>
        <v>0</v>
      </c>
      <c r="N25" s="330"/>
      <c r="O25" s="231">
        <f>'Entrada Prod (diario)'!$J$185</f>
        <v>0</v>
      </c>
      <c r="P25" s="174"/>
      <c r="Q25" s="47">
        <v>259</v>
      </c>
    </row>
    <row r="26" spans="1:17" x14ac:dyDescent="0.25">
      <c r="A26" s="229">
        <f>IF(Info!$J$29&gt;0,A25+7, )</f>
        <v>0</v>
      </c>
      <c r="B26" s="335">
        <v>38</v>
      </c>
      <c r="C26" s="231">
        <f>'Entrada Prod (diario)'!$C$193</f>
        <v>0</v>
      </c>
      <c r="D26" s="39"/>
      <c r="E26" s="299">
        <f>'Entrada Prod (diario)'!$D$193</f>
        <v>0</v>
      </c>
      <c r="F26" s="299">
        <f>'Entrada Prod (diario)'!$E$193</f>
        <v>0</v>
      </c>
      <c r="G26" s="39"/>
      <c r="H26" s="39"/>
      <c r="I26" s="211">
        <f>'Entrada Prod (diario)'!$F$193</f>
        <v>0</v>
      </c>
      <c r="J26" s="211">
        <f>'Entrada Prod (diario)'!$G$193</f>
        <v>0</v>
      </c>
      <c r="K26" s="299">
        <f>'Entrada Prod (diario)'!$H$193</f>
        <v>0</v>
      </c>
      <c r="L26" s="330"/>
      <c r="M26" s="299">
        <f>'Entrada Prod (diario)'!$I$193</f>
        <v>0</v>
      </c>
      <c r="N26" s="330"/>
      <c r="O26" s="231">
        <f>'Entrada Prod (diario)'!$J$193</f>
        <v>0</v>
      </c>
      <c r="P26" s="174"/>
      <c r="Q26" s="47">
        <v>266</v>
      </c>
    </row>
    <row r="27" spans="1:17" x14ac:dyDescent="0.25">
      <c r="A27" s="229">
        <f>IF(Info!$J$29&gt;0,A26+7, )</f>
        <v>0</v>
      </c>
      <c r="B27" s="335">
        <v>39</v>
      </c>
      <c r="C27" s="231">
        <f>'Entrada Prod (diario)'!$C$201</f>
        <v>0</v>
      </c>
      <c r="D27" s="39"/>
      <c r="E27" s="299">
        <f>'Entrada Prod (diario)'!$D$201</f>
        <v>0</v>
      </c>
      <c r="F27" s="299">
        <f>'Entrada Prod (diario)'!$E$201</f>
        <v>0</v>
      </c>
      <c r="G27" s="39"/>
      <c r="H27" s="39"/>
      <c r="I27" s="211">
        <f>'Entrada Prod (diario)'!$F$201</f>
        <v>0</v>
      </c>
      <c r="J27" s="211">
        <f>'Entrada Prod (diario)'!$G$201</f>
        <v>0</v>
      </c>
      <c r="K27" s="299">
        <f>'Entrada Prod (diario)'!$H$201</f>
        <v>0</v>
      </c>
      <c r="L27" s="330"/>
      <c r="M27" s="299">
        <f>'Entrada Prod (diario)'!$I$201</f>
        <v>0</v>
      </c>
      <c r="N27" s="330"/>
      <c r="O27" s="231">
        <f>'Entrada Prod (diario)'!$J$201</f>
        <v>0</v>
      </c>
      <c r="P27" s="174"/>
      <c r="Q27" s="47">
        <v>273</v>
      </c>
    </row>
    <row r="28" spans="1:17" x14ac:dyDescent="0.25">
      <c r="A28" s="229">
        <f>IF(Info!$J$29&gt;0,A27+7, )</f>
        <v>0</v>
      </c>
      <c r="B28" s="335">
        <v>40</v>
      </c>
      <c r="C28" s="231">
        <f>'Entrada Prod (diario)'!$C$209</f>
        <v>0</v>
      </c>
      <c r="D28" s="39"/>
      <c r="E28" s="299">
        <f>'Entrada Prod (diario)'!$D$209</f>
        <v>0</v>
      </c>
      <c r="F28" s="299">
        <f>'Entrada Prod (diario)'!$E$209</f>
        <v>0</v>
      </c>
      <c r="G28" s="39"/>
      <c r="H28" s="39"/>
      <c r="I28" s="211">
        <f>'Entrada Prod (diario)'!$F$209</f>
        <v>0</v>
      </c>
      <c r="J28" s="211">
        <f>'Entrada Prod (diario)'!$G$209</f>
        <v>0</v>
      </c>
      <c r="K28" s="299">
        <f>'Entrada Prod (diario)'!$H$209</f>
        <v>0</v>
      </c>
      <c r="L28" s="330"/>
      <c r="M28" s="299">
        <f>'Entrada Prod (diario)'!$I$209</f>
        <v>0</v>
      </c>
      <c r="N28" s="330"/>
      <c r="O28" s="231">
        <f>'Entrada Prod (diario)'!$J$209</f>
        <v>0</v>
      </c>
      <c r="P28" s="174"/>
      <c r="Q28" s="47">
        <v>280</v>
      </c>
    </row>
    <row r="29" spans="1:17" x14ac:dyDescent="0.25">
      <c r="A29" s="229">
        <f>IF(Info!$J$29&gt;0,A28+7, )</f>
        <v>0</v>
      </c>
      <c r="B29" s="335">
        <v>41</v>
      </c>
      <c r="C29" s="231">
        <f>'Entrada Prod (diario)'!$C$217</f>
        <v>0</v>
      </c>
      <c r="D29" s="39"/>
      <c r="E29" s="299">
        <f>'Entrada Prod (diario)'!$D$217</f>
        <v>0</v>
      </c>
      <c r="F29" s="299">
        <f>'Entrada Prod (diario)'!$E$217</f>
        <v>0</v>
      </c>
      <c r="G29" s="39"/>
      <c r="H29" s="39"/>
      <c r="I29" s="211">
        <f>'Entrada Prod (diario)'!$F$217</f>
        <v>0</v>
      </c>
      <c r="J29" s="211">
        <f>'Entrada Prod (diario)'!$G$217</f>
        <v>0</v>
      </c>
      <c r="K29" s="299">
        <f>'Entrada Prod (diario)'!$H$217</f>
        <v>0</v>
      </c>
      <c r="L29" s="330"/>
      <c r="M29" s="299">
        <f>'Entrada Prod (diario)'!$I$217</f>
        <v>0</v>
      </c>
      <c r="N29" s="330"/>
      <c r="O29" s="231">
        <f>'Entrada Prod (diario)'!$J$217</f>
        <v>0</v>
      </c>
      <c r="P29" s="174"/>
      <c r="Q29" s="47">
        <v>287</v>
      </c>
    </row>
    <row r="30" spans="1:17" x14ac:dyDescent="0.25">
      <c r="A30" s="229">
        <f>IF(Info!$J$29&gt;0,A29+7, )</f>
        <v>0</v>
      </c>
      <c r="B30" s="335">
        <v>42</v>
      </c>
      <c r="C30" s="231">
        <f>'Entrada Prod (diario)'!$C$225</f>
        <v>0</v>
      </c>
      <c r="D30" s="39"/>
      <c r="E30" s="299">
        <f>'Entrada Prod (diario)'!$D$225</f>
        <v>0</v>
      </c>
      <c r="F30" s="299">
        <f>'Entrada Prod (diario)'!$E$225</f>
        <v>0</v>
      </c>
      <c r="G30" s="39"/>
      <c r="H30" s="39"/>
      <c r="I30" s="211">
        <f>'Entrada Prod (diario)'!$F$225</f>
        <v>0</v>
      </c>
      <c r="J30" s="211">
        <f>'Entrada Prod (diario)'!$G$225</f>
        <v>0</v>
      </c>
      <c r="K30" s="299">
        <f>'Entrada Prod (diario)'!$H$225</f>
        <v>0</v>
      </c>
      <c r="L30" s="330"/>
      <c r="M30" s="299">
        <f>'Entrada Prod (diario)'!$I$225</f>
        <v>0</v>
      </c>
      <c r="N30" s="330"/>
      <c r="O30" s="231">
        <f>'Entrada Prod (diario)'!$J$225</f>
        <v>0</v>
      </c>
      <c r="P30" s="174"/>
      <c r="Q30" s="47">
        <v>294</v>
      </c>
    </row>
    <row r="31" spans="1:17" x14ac:dyDescent="0.25">
      <c r="A31" s="229">
        <f>IF(Info!$J$29&gt;0,A30+7, )</f>
        <v>0</v>
      </c>
      <c r="B31" s="335">
        <v>43</v>
      </c>
      <c r="C31" s="231">
        <f>'Entrada Prod (diario)'!$C$233</f>
        <v>0</v>
      </c>
      <c r="D31" s="39"/>
      <c r="E31" s="299">
        <f>'Entrada Prod (diario)'!$D$233</f>
        <v>0</v>
      </c>
      <c r="F31" s="299">
        <f>'Entrada Prod (diario)'!$E$233</f>
        <v>0</v>
      </c>
      <c r="G31" s="39"/>
      <c r="H31" s="39"/>
      <c r="I31" s="211">
        <f>'Entrada Prod (diario)'!$F$233</f>
        <v>0</v>
      </c>
      <c r="J31" s="211">
        <f>'Entrada Prod (diario)'!$G$233</f>
        <v>0</v>
      </c>
      <c r="K31" s="299">
        <f>'Entrada Prod (diario)'!$H$233</f>
        <v>0</v>
      </c>
      <c r="L31" s="330"/>
      <c r="M31" s="299">
        <f>'Entrada Prod (diario)'!$I$233</f>
        <v>0</v>
      </c>
      <c r="N31" s="330"/>
      <c r="O31" s="231">
        <f>'Entrada Prod (diario)'!$J$233</f>
        <v>0</v>
      </c>
      <c r="P31" s="174"/>
      <c r="Q31" s="47">
        <v>301</v>
      </c>
    </row>
    <row r="32" spans="1:17" x14ac:dyDescent="0.25">
      <c r="A32" s="229">
        <f>IF(Info!$J$29&gt;0,A31+7, )</f>
        <v>0</v>
      </c>
      <c r="B32" s="335">
        <v>44</v>
      </c>
      <c r="C32" s="231">
        <f>'Entrada Prod (diario)'!$C$241</f>
        <v>0</v>
      </c>
      <c r="D32" s="39"/>
      <c r="E32" s="299">
        <f>'Entrada Prod (diario)'!$D$241</f>
        <v>0</v>
      </c>
      <c r="F32" s="299">
        <f>'Entrada Prod (diario)'!$E$241</f>
        <v>0</v>
      </c>
      <c r="G32" s="39"/>
      <c r="H32" s="39"/>
      <c r="I32" s="211">
        <f>'Entrada Prod (diario)'!$F$241</f>
        <v>0</v>
      </c>
      <c r="J32" s="211">
        <f>'Entrada Prod (diario)'!$G$241</f>
        <v>0</v>
      </c>
      <c r="K32" s="299">
        <f>'Entrada Prod (diario)'!$H$241</f>
        <v>0</v>
      </c>
      <c r="L32" s="330"/>
      <c r="M32" s="299">
        <f>'Entrada Prod (diario)'!$I$241</f>
        <v>0</v>
      </c>
      <c r="N32" s="330"/>
      <c r="O32" s="231">
        <f>'Entrada Prod (diario)'!$J$241</f>
        <v>0</v>
      </c>
      <c r="P32" s="174"/>
      <c r="Q32" s="47">
        <v>308</v>
      </c>
    </row>
    <row r="33" spans="1:17" x14ac:dyDescent="0.25">
      <c r="A33" s="229">
        <f>IF(Info!$J$29&gt;0,A32+7, )</f>
        <v>0</v>
      </c>
      <c r="B33" s="335">
        <v>45</v>
      </c>
      <c r="C33" s="231">
        <f>'Entrada Prod (diario)'!$C$249</f>
        <v>0</v>
      </c>
      <c r="D33" s="39"/>
      <c r="E33" s="299">
        <f>'Entrada Prod (diario)'!$D$249</f>
        <v>0</v>
      </c>
      <c r="F33" s="299">
        <f>'Entrada Prod (diario)'!$E$249</f>
        <v>0</v>
      </c>
      <c r="G33" s="39"/>
      <c r="H33" s="39"/>
      <c r="I33" s="211">
        <f>'Entrada Prod (diario)'!$F$249</f>
        <v>0</v>
      </c>
      <c r="J33" s="211">
        <f>'Entrada Prod (diario)'!$G$249</f>
        <v>0</v>
      </c>
      <c r="K33" s="299">
        <f>'Entrada Prod (diario)'!$H$249</f>
        <v>0</v>
      </c>
      <c r="L33" s="330"/>
      <c r="M33" s="299">
        <f>'Entrada Prod (diario)'!$I$249</f>
        <v>0</v>
      </c>
      <c r="N33" s="330"/>
      <c r="O33" s="231">
        <f>'Entrada Prod (diario)'!$J$249</f>
        <v>0</v>
      </c>
      <c r="P33" s="174"/>
      <c r="Q33" s="47">
        <v>315</v>
      </c>
    </row>
    <row r="34" spans="1:17" x14ac:dyDescent="0.25">
      <c r="A34" s="229">
        <f>IF(Info!$J$29&gt;0,A33+7, )</f>
        <v>0</v>
      </c>
      <c r="B34" s="335">
        <v>46</v>
      </c>
      <c r="C34" s="231">
        <f>'Entrada Prod (diario)'!$C$257</f>
        <v>0</v>
      </c>
      <c r="D34" s="39"/>
      <c r="E34" s="299">
        <f>'Entrada Prod (diario)'!$D$257</f>
        <v>0</v>
      </c>
      <c r="F34" s="299">
        <f>'Entrada Prod (diario)'!$E$257</f>
        <v>0</v>
      </c>
      <c r="G34" s="39"/>
      <c r="H34" s="39"/>
      <c r="I34" s="211">
        <f>'Entrada Prod (diario)'!$F$257</f>
        <v>0</v>
      </c>
      <c r="J34" s="211">
        <f>'Entrada Prod (diario)'!$G$257</f>
        <v>0</v>
      </c>
      <c r="K34" s="299">
        <f>'Entrada Prod (diario)'!$H$257</f>
        <v>0</v>
      </c>
      <c r="L34" s="330"/>
      <c r="M34" s="299">
        <f>'Entrada Prod (diario)'!$I$257</f>
        <v>0</v>
      </c>
      <c r="N34" s="330"/>
      <c r="O34" s="231">
        <f>'Entrada Prod (diario)'!$J$257</f>
        <v>0</v>
      </c>
      <c r="P34" s="174"/>
      <c r="Q34" s="47">
        <v>322</v>
      </c>
    </row>
    <row r="35" spans="1:17" x14ac:dyDescent="0.25">
      <c r="A35" s="229">
        <f>IF(Info!$J$29&gt;0,A34+7, )</f>
        <v>0</v>
      </c>
      <c r="B35" s="335">
        <v>47</v>
      </c>
      <c r="C35" s="231">
        <f>'Entrada Prod (diario)'!$C$265</f>
        <v>0</v>
      </c>
      <c r="D35" s="39"/>
      <c r="E35" s="299">
        <f>'Entrada Prod (diario)'!$D$265</f>
        <v>0</v>
      </c>
      <c r="F35" s="299">
        <f>'Entrada Prod (diario)'!$E$265</f>
        <v>0</v>
      </c>
      <c r="G35" s="39"/>
      <c r="H35" s="39"/>
      <c r="I35" s="211">
        <f>'Entrada Prod (diario)'!$F$265</f>
        <v>0</v>
      </c>
      <c r="J35" s="211">
        <f>'Entrada Prod (diario)'!$G$265</f>
        <v>0</v>
      </c>
      <c r="K35" s="299">
        <f>'Entrada Prod (diario)'!$H$265</f>
        <v>0</v>
      </c>
      <c r="L35" s="330"/>
      <c r="M35" s="299">
        <f>'Entrada Prod (diario)'!$I$265</f>
        <v>0</v>
      </c>
      <c r="N35" s="330"/>
      <c r="O35" s="231">
        <f>'Entrada Prod (diario)'!$J$265</f>
        <v>0</v>
      </c>
      <c r="P35" s="174"/>
      <c r="Q35" s="47">
        <v>329</v>
      </c>
    </row>
    <row r="36" spans="1:17" x14ac:dyDescent="0.25">
      <c r="A36" s="229">
        <f>IF(Info!$J$29&gt;0,A35+7, )</f>
        <v>0</v>
      </c>
      <c r="B36" s="335">
        <v>48</v>
      </c>
      <c r="C36" s="231">
        <f>'Entrada Prod (diario)'!$C$273</f>
        <v>0</v>
      </c>
      <c r="D36" s="39"/>
      <c r="E36" s="299">
        <f>'Entrada Prod (diario)'!$D$273</f>
        <v>0</v>
      </c>
      <c r="F36" s="299">
        <f>'Entrada Prod (diario)'!$E$273</f>
        <v>0</v>
      </c>
      <c r="G36" s="39"/>
      <c r="H36" s="39"/>
      <c r="I36" s="211">
        <f>'Entrada Prod (diario)'!$F$273</f>
        <v>0</v>
      </c>
      <c r="J36" s="211">
        <f>'Entrada Prod (diario)'!$G$273</f>
        <v>0</v>
      </c>
      <c r="K36" s="299">
        <f>'Entrada Prod (diario)'!$H$273</f>
        <v>0</v>
      </c>
      <c r="L36" s="330"/>
      <c r="M36" s="299">
        <f>'Entrada Prod (diario)'!$I$273</f>
        <v>0</v>
      </c>
      <c r="N36" s="330"/>
      <c r="O36" s="231">
        <f>'Entrada Prod (diario)'!$J$273</f>
        <v>0</v>
      </c>
      <c r="P36" s="174"/>
      <c r="Q36" s="47">
        <v>336</v>
      </c>
    </row>
    <row r="37" spans="1:17" x14ac:dyDescent="0.25">
      <c r="A37" s="229">
        <f>IF(Info!$J$29&gt;0,A36+7, )</f>
        <v>0</v>
      </c>
      <c r="B37" s="335">
        <v>49</v>
      </c>
      <c r="C37" s="231">
        <f>'Entrada Prod (diario)'!$C$281</f>
        <v>0</v>
      </c>
      <c r="D37" s="39"/>
      <c r="E37" s="299">
        <f>'Entrada Prod (diario)'!$D$281</f>
        <v>0</v>
      </c>
      <c r="F37" s="299">
        <f>'Entrada Prod (diario)'!$E$281</f>
        <v>0</v>
      </c>
      <c r="G37" s="39"/>
      <c r="H37" s="39"/>
      <c r="I37" s="211">
        <f>'Entrada Prod (diario)'!$F$281</f>
        <v>0</v>
      </c>
      <c r="J37" s="211">
        <f>'Entrada Prod (diario)'!$G$281</f>
        <v>0</v>
      </c>
      <c r="K37" s="299">
        <f>'Entrada Prod (diario)'!$H$281</f>
        <v>0</v>
      </c>
      <c r="L37" s="330"/>
      <c r="M37" s="299">
        <f>'Entrada Prod (diario)'!$I$281</f>
        <v>0</v>
      </c>
      <c r="N37" s="330"/>
      <c r="O37" s="231">
        <f>'Entrada Prod (diario)'!$J$281</f>
        <v>0</v>
      </c>
      <c r="P37" s="174"/>
      <c r="Q37" s="47">
        <v>343</v>
      </c>
    </row>
    <row r="38" spans="1:17" x14ac:dyDescent="0.25">
      <c r="A38" s="229">
        <f>IF(Info!$J$29&gt;0,A37+7, )</f>
        <v>0</v>
      </c>
      <c r="B38" s="335">
        <v>50</v>
      </c>
      <c r="C38" s="231">
        <f>'Entrada Prod (diario)'!$C$289</f>
        <v>0</v>
      </c>
      <c r="D38" s="39"/>
      <c r="E38" s="299">
        <f>'Entrada Prod (diario)'!$D$289</f>
        <v>0</v>
      </c>
      <c r="F38" s="299">
        <f>'Entrada Prod (diario)'!$E$289</f>
        <v>0</v>
      </c>
      <c r="G38" s="39"/>
      <c r="H38" s="39"/>
      <c r="I38" s="211">
        <f>'Entrada Prod (diario)'!$F$289</f>
        <v>0</v>
      </c>
      <c r="J38" s="211">
        <f>'Entrada Prod (diario)'!$G$289</f>
        <v>0</v>
      </c>
      <c r="K38" s="299">
        <f>'Entrada Prod (diario)'!$H$289</f>
        <v>0</v>
      </c>
      <c r="L38" s="330"/>
      <c r="M38" s="299">
        <f>'Entrada Prod (diario)'!$I$289</f>
        <v>0</v>
      </c>
      <c r="N38" s="330"/>
      <c r="O38" s="231">
        <f>'Entrada Prod (diario)'!$J$289</f>
        <v>0</v>
      </c>
      <c r="P38" s="174"/>
      <c r="Q38" s="47">
        <v>350</v>
      </c>
    </row>
    <row r="39" spans="1:17" x14ac:dyDescent="0.25">
      <c r="A39" s="229">
        <f>IF(Info!$J$29&gt;0,A38+7, )</f>
        <v>0</v>
      </c>
      <c r="B39" s="335">
        <v>51</v>
      </c>
      <c r="C39" s="231">
        <f>'Entrada Prod (diario)'!$C$297</f>
        <v>0</v>
      </c>
      <c r="D39" s="39"/>
      <c r="E39" s="299">
        <f>'Entrada Prod (diario)'!$D$297</f>
        <v>0</v>
      </c>
      <c r="F39" s="299">
        <f>'Entrada Prod (diario)'!$E$297</f>
        <v>0</v>
      </c>
      <c r="G39" s="39"/>
      <c r="H39" s="39"/>
      <c r="I39" s="211">
        <f>'Entrada Prod (diario)'!$F$297</f>
        <v>0</v>
      </c>
      <c r="J39" s="211">
        <f>'Entrada Prod (diario)'!$G$297</f>
        <v>0</v>
      </c>
      <c r="K39" s="299">
        <f>'Entrada Prod (diario)'!$H$297</f>
        <v>0</v>
      </c>
      <c r="L39" s="330"/>
      <c r="M39" s="299">
        <f>'Entrada Prod (diario)'!$I$297</f>
        <v>0</v>
      </c>
      <c r="N39" s="330"/>
      <c r="O39" s="231">
        <f>'Entrada Prod (diario)'!$J$297</f>
        <v>0</v>
      </c>
      <c r="P39" s="174"/>
      <c r="Q39" s="47">
        <v>357</v>
      </c>
    </row>
    <row r="40" spans="1:17" x14ac:dyDescent="0.25">
      <c r="A40" s="229">
        <f>IF(Info!$J$29&gt;0,A39+7, )</f>
        <v>0</v>
      </c>
      <c r="B40" s="335">
        <v>52</v>
      </c>
      <c r="C40" s="231">
        <f>'Entrada Prod (diario)'!$C$305</f>
        <v>0</v>
      </c>
      <c r="D40" s="39"/>
      <c r="E40" s="299">
        <f>'Entrada Prod (diario)'!$D$305</f>
        <v>0</v>
      </c>
      <c r="F40" s="299">
        <f>'Entrada Prod (diario)'!$E$305</f>
        <v>0</v>
      </c>
      <c r="G40" s="39"/>
      <c r="H40" s="39"/>
      <c r="I40" s="211">
        <f>'Entrada Prod (diario)'!$F$305</f>
        <v>0</v>
      </c>
      <c r="J40" s="211">
        <f>'Entrada Prod (diario)'!$G$305</f>
        <v>0</v>
      </c>
      <c r="K40" s="299">
        <f>'Entrada Prod (diario)'!$H$305</f>
        <v>0</v>
      </c>
      <c r="L40" s="330"/>
      <c r="M40" s="299">
        <f>'Entrada Prod (diario)'!$I$305</f>
        <v>0</v>
      </c>
      <c r="N40" s="330"/>
      <c r="O40" s="231">
        <f>'Entrada Prod (diario)'!$J$305</f>
        <v>0</v>
      </c>
      <c r="P40" s="174"/>
      <c r="Q40" s="47">
        <v>364</v>
      </c>
    </row>
    <row r="41" spans="1:17" x14ac:dyDescent="0.25">
      <c r="A41" s="229">
        <f>IF(Info!$J$29&gt;0,A40+7, )</f>
        <v>0</v>
      </c>
      <c r="B41" s="335">
        <v>53</v>
      </c>
      <c r="C41" s="231">
        <f>'Entrada Prod (diario)'!$C$313</f>
        <v>0</v>
      </c>
      <c r="D41" s="39"/>
      <c r="E41" s="299">
        <f>'Entrada Prod (diario)'!$D$313</f>
        <v>0</v>
      </c>
      <c r="F41" s="299">
        <f>'Entrada Prod (diario)'!$E$313</f>
        <v>0</v>
      </c>
      <c r="G41" s="39"/>
      <c r="H41" s="39"/>
      <c r="I41" s="211">
        <f>'Entrada Prod (diario)'!$F$313</f>
        <v>0</v>
      </c>
      <c r="J41" s="211">
        <f>'Entrada Prod (diario)'!$G$313</f>
        <v>0</v>
      </c>
      <c r="K41" s="299">
        <f>'Entrada Prod (diario)'!$H$313</f>
        <v>0</v>
      </c>
      <c r="L41" s="330"/>
      <c r="M41" s="299">
        <f>'Entrada Prod (diario)'!$I$313</f>
        <v>0</v>
      </c>
      <c r="N41" s="330"/>
      <c r="O41" s="231">
        <f>'Entrada Prod (diario)'!$J$313</f>
        <v>0</v>
      </c>
      <c r="P41" s="174"/>
      <c r="Q41" s="47">
        <v>371</v>
      </c>
    </row>
    <row r="42" spans="1:17" x14ac:dyDescent="0.25">
      <c r="A42" s="229">
        <f>IF(Info!$J$29&gt;0,A41+7, )</f>
        <v>0</v>
      </c>
      <c r="B42" s="335">
        <v>54</v>
      </c>
      <c r="C42" s="231">
        <f>'Entrada Prod (diario)'!$C$321</f>
        <v>0</v>
      </c>
      <c r="D42" s="39"/>
      <c r="E42" s="299">
        <f>'Entrada Prod (diario)'!$D$321</f>
        <v>0</v>
      </c>
      <c r="F42" s="299">
        <f>'Entrada Prod (diario)'!$E$321</f>
        <v>0</v>
      </c>
      <c r="G42" s="39"/>
      <c r="H42" s="39"/>
      <c r="I42" s="211">
        <f>'Entrada Prod (diario)'!$F$321</f>
        <v>0</v>
      </c>
      <c r="J42" s="211">
        <f>'Entrada Prod (diario)'!$G$321</f>
        <v>0</v>
      </c>
      <c r="K42" s="299">
        <f>'Entrada Prod (diario)'!$H$321</f>
        <v>0</v>
      </c>
      <c r="L42" s="330"/>
      <c r="M42" s="299">
        <f>'Entrada Prod (diario)'!$I$321</f>
        <v>0</v>
      </c>
      <c r="N42" s="330"/>
      <c r="O42" s="231">
        <f>'Entrada Prod (diario)'!$J$321</f>
        <v>0</v>
      </c>
      <c r="P42" s="174"/>
      <c r="Q42" s="47">
        <v>378</v>
      </c>
    </row>
    <row r="43" spans="1:17" x14ac:dyDescent="0.25">
      <c r="A43" s="229">
        <f>IF(Info!$J$29&gt;0,A42+7, )</f>
        <v>0</v>
      </c>
      <c r="B43" s="335">
        <v>55</v>
      </c>
      <c r="C43" s="231">
        <f>'Entrada Prod (diario)'!$C$329</f>
        <v>0</v>
      </c>
      <c r="D43" s="39"/>
      <c r="E43" s="299">
        <f>'Entrada Prod (diario)'!$D$329</f>
        <v>0</v>
      </c>
      <c r="F43" s="299">
        <f>'Entrada Prod (diario)'!$E$329</f>
        <v>0</v>
      </c>
      <c r="G43" s="39"/>
      <c r="H43" s="39"/>
      <c r="I43" s="211">
        <f>'Entrada Prod (diario)'!$F$329</f>
        <v>0</v>
      </c>
      <c r="J43" s="211">
        <f>'Entrada Prod (diario)'!$G$329</f>
        <v>0</v>
      </c>
      <c r="K43" s="299">
        <f>'Entrada Prod (diario)'!$H$329</f>
        <v>0</v>
      </c>
      <c r="L43" s="330"/>
      <c r="M43" s="299">
        <f>'Entrada Prod (diario)'!$I$329</f>
        <v>0</v>
      </c>
      <c r="N43" s="330"/>
      <c r="O43" s="231">
        <f>'Entrada Prod (diario)'!$J$329</f>
        <v>0</v>
      </c>
      <c r="P43" s="174"/>
      <c r="Q43" s="47">
        <v>385</v>
      </c>
    </row>
    <row r="44" spans="1:17" x14ac:dyDescent="0.25">
      <c r="A44" s="229">
        <f>IF(Info!$J$29&gt;0,A43+7, )</f>
        <v>0</v>
      </c>
      <c r="B44" s="335">
        <v>56</v>
      </c>
      <c r="C44" s="231">
        <f>'Entrada Prod (diario)'!$C$337</f>
        <v>0</v>
      </c>
      <c r="D44" s="39"/>
      <c r="E44" s="299">
        <f>'Entrada Prod (diario)'!$D$337</f>
        <v>0</v>
      </c>
      <c r="F44" s="299">
        <f>'Entrada Prod (diario)'!$E$337</f>
        <v>0</v>
      </c>
      <c r="G44" s="39"/>
      <c r="H44" s="39"/>
      <c r="I44" s="211">
        <f>'Entrada Prod (diario)'!$F$337</f>
        <v>0</v>
      </c>
      <c r="J44" s="211">
        <f>'Entrada Prod (diario)'!$G$337</f>
        <v>0</v>
      </c>
      <c r="K44" s="299">
        <f>'Entrada Prod (diario)'!$H$337</f>
        <v>0</v>
      </c>
      <c r="L44" s="330"/>
      <c r="M44" s="299">
        <f>'Entrada Prod (diario)'!$I$337</f>
        <v>0</v>
      </c>
      <c r="N44" s="330"/>
      <c r="O44" s="231">
        <f>'Entrada Prod (diario)'!$J$337</f>
        <v>0</v>
      </c>
      <c r="P44" s="174"/>
      <c r="Q44" s="47">
        <v>392</v>
      </c>
    </row>
    <row r="45" spans="1:17" x14ac:dyDescent="0.25">
      <c r="A45" s="229">
        <f>IF(Info!$J$29&gt;0,A44+7, )</f>
        <v>0</v>
      </c>
      <c r="B45" s="335">
        <v>57</v>
      </c>
      <c r="C45" s="231">
        <f>'Entrada Prod (diario)'!$C$345</f>
        <v>0</v>
      </c>
      <c r="D45" s="39"/>
      <c r="E45" s="299">
        <f>'Entrada Prod (diario)'!$D$345</f>
        <v>0</v>
      </c>
      <c r="F45" s="299">
        <f>'Entrada Prod (diario)'!$E$345</f>
        <v>0</v>
      </c>
      <c r="G45" s="39"/>
      <c r="H45" s="39"/>
      <c r="I45" s="211">
        <f>'Entrada Prod (diario)'!$F$345</f>
        <v>0</v>
      </c>
      <c r="J45" s="211">
        <f>'Entrada Prod (diario)'!$G$345</f>
        <v>0</v>
      </c>
      <c r="K45" s="299">
        <f>'Entrada Prod (diario)'!$H$345</f>
        <v>0</v>
      </c>
      <c r="L45" s="330"/>
      <c r="M45" s="299">
        <f>'Entrada Prod (diario)'!$I$345</f>
        <v>0</v>
      </c>
      <c r="N45" s="330"/>
      <c r="O45" s="231">
        <f>'Entrada Prod (diario)'!$J$345</f>
        <v>0</v>
      </c>
      <c r="P45" s="174"/>
      <c r="Q45" s="47">
        <v>399</v>
      </c>
    </row>
    <row r="46" spans="1:17" x14ac:dyDescent="0.25">
      <c r="A46" s="229">
        <f>IF(Info!$J$29&gt;0,A45+7, )</f>
        <v>0</v>
      </c>
      <c r="B46" s="335">
        <v>58</v>
      </c>
      <c r="C46" s="231">
        <f>'Entrada Prod (diario)'!$C$353</f>
        <v>0</v>
      </c>
      <c r="D46" s="39"/>
      <c r="E46" s="299">
        <f>'Entrada Prod (diario)'!$D$353</f>
        <v>0</v>
      </c>
      <c r="F46" s="299">
        <f>'Entrada Prod (diario)'!$E$353</f>
        <v>0</v>
      </c>
      <c r="G46" s="39"/>
      <c r="H46" s="39"/>
      <c r="I46" s="211">
        <f>'Entrada Prod (diario)'!$F$353</f>
        <v>0</v>
      </c>
      <c r="J46" s="211">
        <f>'Entrada Prod (diario)'!$G$353</f>
        <v>0</v>
      </c>
      <c r="K46" s="299">
        <f>'Entrada Prod (diario)'!$H$353</f>
        <v>0</v>
      </c>
      <c r="L46" s="330"/>
      <c r="M46" s="299">
        <f>'Entrada Prod (diario)'!$I$353</f>
        <v>0</v>
      </c>
      <c r="N46" s="330"/>
      <c r="O46" s="231">
        <f>'Entrada Prod (diario)'!$J$353</f>
        <v>0</v>
      </c>
      <c r="P46" s="174"/>
      <c r="Q46" s="47">
        <v>406</v>
      </c>
    </row>
    <row r="47" spans="1:17" x14ac:dyDescent="0.25">
      <c r="A47" s="229">
        <f>IF(Info!$J$29&gt;0,A46+7, )</f>
        <v>0</v>
      </c>
      <c r="B47" s="335">
        <v>59</v>
      </c>
      <c r="C47" s="231">
        <f>'Entrada Prod (diario)'!$C$361</f>
        <v>0</v>
      </c>
      <c r="D47" s="39"/>
      <c r="E47" s="299">
        <f>'Entrada Prod (diario)'!$D$361</f>
        <v>0</v>
      </c>
      <c r="F47" s="299">
        <f>'Entrada Prod (diario)'!$E$361</f>
        <v>0</v>
      </c>
      <c r="G47" s="39"/>
      <c r="H47" s="39"/>
      <c r="I47" s="211">
        <f>'Entrada Prod (diario)'!$F$361</f>
        <v>0</v>
      </c>
      <c r="J47" s="211">
        <f>'Entrada Prod (diario)'!$G$361</f>
        <v>0</v>
      </c>
      <c r="K47" s="299">
        <f>'Entrada Prod (diario)'!$H$361</f>
        <v>0</v>
      </c>
      <c r="L47" s="330"/>
      <c r="M47" s="299">
        <f>'Entrada Prod (diario)'!$I$361</f>
        <v>0</v>
      </c>
      <c r="N47" s="330"/>
      <c r="O47" s="231">
        <f>'Entrada Prod (diario)'!$J$361</f>
        <v>0</v>
      </c>
      <c r="P47" s="174"/>
      <c r="Q47" s="47">
        <v>413</v>
      </c>
    </row>
    <row r="48" spans="1:17" x14ac:dyDescent="0.25">
      <c r="A48" s="229">
        <f>IF(Info!$J$29&gt;0,A47+7, )</f>
        <v>0</v>
      </c>
      <c r="B48" s="335">
        <v>60</v>
      </c>
      <c r="C48" s="231">
        <f>'Entrada Prod (diario)'!$C$369</f>
        <v>0</v>
      </c>
      <c r="D48" s="39"/>
      <c r="E48" s="299">
        <f>'Entrada Prod (diario)'!$D$369</f>
        <v>0</v>
      </c>
      <c r="F48" s="299">
        <f>'Entrada Prod (diario)'!$E$369</f>
        <v>0</v>
      </c>
      <c r="G48" s="39"/>
      <c r="H48" s="39"/>
      <c r="I48" s="211">
        <f>'Entrada Prod (diario)'!$F$369</f>
        <v>0</v>
      </c>
      <c r="J48" s="211">
        <f>'Entrada Prod (diario)'!$G$369</f>
        <v>0</v>
      </c>
      <c r="K48" s="299">
        <f>'Entrada Prod (diario)'!$H$369</f>
        <v>0</v>
      </c>
      <c r="L48" s="330"/>
      <c r="M48" s="299">
        <f>'Entrada Prod (diario)'!$I$369</f>
        <v>0</v>
      </c>
      <c r="N48" s="330"/>
      <c r="O48" s="231">
        <f>'Entrada Prod (diario)'!$J$369</f>
        <v>0</v>
      </c>
      <c r="P48" s="174"/>
      <c r="Q48" s="47">
        <v>420</v>
      </c>
    </row>
    <row r="49" spans="1:21" x14ac:dyDescent="0.25">
      <c r="A49" s="229">
        <f>IF(Info!$J$29&gt;0,A48+7, )</f>
        <v>0</v>
      </c>
      <c r="B49" s="335">
        <v>61</v>
      </c>
      <c r="C49" s="231">
        <f>'Entrada Prod (diario)'!$C$377</f>
        <v>0</v>
      </c>
      <c r="D49" s="39"/>
      <c r="E49" s="299">
        <f>'Entrada Prod (diario)'!$D$377</f>
        <v>0</v>
      </c>
      <c r="F49" s="299">
        <f>'Entrada Prod (diario)'!$E$377</f>
        <v>0</v>
      </c>
      <c r="G49" s="39"/>
      <c r="H49" s="39"/>
      <c r="I49" s="211">
        <f>'Entrada Prod (diario)'!$F$377</f>
        <v>0</v>
      </c>
      <c r="J49" s="211">
        <f>'Entrada Prod (diario)'!$G$377</f>
        <v>0</v>
      </c>
      <c r="K49" s="299">
        <f>'Entrada Prod (diario)'!$H$377</f>
        <v>0</v>
      </c>
      <c r="L49" s="330"/>
      <c r="M49" s="299">
        <f>'Entrada Prod (diario)'!$I$377</f>
        <v>0</v>
      </c>
      <c r="N49" s="330"/>
      <c r="O49" s="231">
        <f>'Entrada Prod (diario)'!$J$377</f>
        <v>0</v>
      </c>
      <c r="P49" s="174"/>
      <c r="Q49" s="47">
        <v>427</v>
      </c>
    </row>
    <row r="50" spans="1:21" x14ac:dyDescent="0.25">
      <c r="A50" s="229">
        <f>IF(Info!$J$29&gt;0,A49+7, )</f>
        <v>0</v>
      </c>
      <c r="B50" s="335">
        <v>62</v>
      </c>
      <c r="C50" s="231">
        <f>'Entrada Prod (diario)'!$C$385</f>
        <v>0</v>
      </c>
      <c r="D50" s="39"/>
      <c r="E50" s="299">
        <f>'Entrada Prod (diario)'!$D$385</f>
        <v>0</v>
      </c>
      <c r="F50" s="299">
        <f>'Entrada Prod (diario)'!$E$385</f>
        <v>0</v>
      </c>
      <c r="G50" s="39"/>
      <c r="H50" s="39"/>
      <c r="I50" s="211">
        <f>'Entrada Prod (diario)'!$F$385</f>
        <v>0</v>
      </c>
      <c r="J50" s="211">
        <f>'Entrada Prod (diario)'!$G$385</f>
        <v>0</v>
      </c>
      <c r="K50" s="299">
        <f>'Entrada Prod (diario)'!$H$385</f>
        <v>0</v>
      </c>
      <c r="L50" s="330"/>
      <c r="M50" s="299">
        <f>'Entrada Prod (diario)'!$I$385</f>
        <v>0</v>
      </c>
      <c r="N50" s="330"/>
      <c r="O50" s="231">
        <f>'Entrada Prod (diario)'!$J$385</f>
        <v>0</v>
      </c>
      <c r="P50" s="174"/>
      <c r="Q50" s="47">
        <v>434</v>
      </c>
    </row>
    <row r="51" spans="1:21" x14ac:dyDescent="0.25">
      <c r="A51" s="229">
        <f>IF(Info!$J$29&gt;0,A50+7, )</f>
        <v>0</v>
      </c>
      <c r="B51" s="335">
        <v>63</v>
      </c>
      <c r="C51" s="231">
        <f>'Entrada Prod (diario)'!$C$393</f>
        <v>0</v>
      </c>
      <c r="D51" s="39"/>
      <c r="E51" s="299">
        <f>'Entrada Prod (diario)'!$D$393</f>
        <v>0</v>
      </c>
      <c r="F51" s="299">
        <f>'Entrada Prod (diario)'!$E$393</f>
        <v>0</v>
      </c>
      <c r="G51" s="39"/>
      <c r="H51" s="39"/>
      <c r="I51" s="211">
        <f>'Entrada Prod (diario)'!$F$393</f>
        <v>0</v>
      </c>
      <c r="J51" s="211">
        <f>'Entrada Prod (diario)'!$G$393</f>
        <v>0</v>
      </c>
      <c r="K51" s="299">
        <f>'Entrada Prod (diario)'!$H$393</f>
        <v>0</v>
      </c>
      <c r="L51" s="330"/>
      <c r="M51" s="299">
        <f>'Entrada Prod (diario)'!$I$393</f>
        <v>0</v>
      </c>
      <c r="N51" s="330"/>
      <c r="O51" s="231">
        <f>'Entrada Prod (diario)'!$J$393</f>
        <v>0</v>
      </c>
      <c r="P51" s="174"/>
      <c r="Q51" s="47">
        <v>441</v>
      </c>
    </row>
    <row r="52" spans="1:21" x14ac:dyDescent="0.25">
      <c r="A52" s="229">
        <f>IF(Info!$J$29&gt;0,A51+7, )</f>
        <v>0</v>
      </c>
      <c r="B52" s="335">
        <v>64</v>
      </c>
      <c r="C52" s="231">
        <f>'Entrada Prod (diario)'!$C$401</f>
        <v>0</v>
      </c>
      <c r="D52" s="39"/>
      <c r="E52" s="299">
        <f>'Entrada Prod (diario)'!$D$401</f>
        <v>0</v>
      </c>
      <c r="F52" s="299">
        <f>'Entrada Prod (diario)'!$E$401</f>
        <v>0</v>
      </c>
      <c r="G52" s="39"/>
      <c r="H52" s="39"/>
      <c r="I52" s="211">
        <f>'Entrada Prod (diario)'!$F$401</f>
        <v>0</v>
      </c>
      <c r="J52" s="211">
        <f>'Entrada Prod (diario)'!$G$401</f>
        <v>0</v>
      </c>
      <c r="K52" s="299">
        <f>'Entrada Prod (diario)'!$H$401</f>
        <v>0</v>
      </c>
      <c r="L52" s="330"/>
      <c r="M52" s="299">
        <f>'Entrada Prod (diario)'!$I$401</f>
        <v>0</v>
      </c>
      <c r="N52" s="330"/>
      <c r="O52" s="231">
        <f>'Entrada Prod (diario)'!$J$401</f>
        <v>0</v>
      </c>
      <c r="P52" s="174"/>
      <c r="Q52" s="47">
        <v>448</v>
      </c>
    </row>
    <row r="53" spans="1:21" x14ac:dyDescent="0.25">
      <c r="A53" s="229">
        <f>IF(Info!$J$29&gt;0,A52+7, )</f>
        <v>0</v>
      </c>
      <c r="B53" s="335">
        <v>65</v>
      </c>
      <c r="C53" s="231">
        <f>'Entrada Prod (diario)'!$C$409</f>
        <v>0</v>
      </c>
      <c r="D53" s="39"/>
      <c r="E53" s="299">
        <f>'Entrada Prod (diario)'!$D$409</f>
        <v>0</v>
      </c>
      <c r="F53" s="299">
        <f>'Entrada Prod (diario)'!$E$409</f>
        <v>0</v>
      </c>
      <c r="G53" s="39"/>
      <c r="H53" s="39"/>
      <c r="I53" s="211">
        <f>'Entrada Prod (diario)'!$F$409</f>
        <v>0</v>
      </c>
      <c r="J53" s="211">
        <f>'Entrada Prod (diario)'!$G$409</f>
        <v>0</v>
      </c>
      <c r="K53" s="299">
        <f>'Entrada Prod (diario)'!$H$409</f>
        <v>0</v>
      </c>
      <c r="L53" s="330"/>
      <c r="M53" s="299">
        <f>'Entrada Prod (diario)'!$I$409</f>
        <v>0</v>
      </c>
      <c r="N53" s="330"/>
      <c r="O53" s="231">
        <f>'Entrada Prod (diario)'!$J$409</f>
        <v>0</v>
      </c>
      <c r="P53" s="174"/>
      <c r="Q53" s="47">
        <v>455</v>
      </c>
    </row>
    <row r="54" spans="1:21" x14ac:dyDescent="0.25">
      <c r="A54" s="229">
        <f>IF(Info!$J$29&gt;0,A53+7, )</f>
        <v>0</v>
      </c>
      <c r="B54" s="335">
        <v>66</v>
      </c>
      <c r="C54" s="231">
        <f>'Entrada Prod (diario)'!$C$417</f>
        <v>0</v>
      </c>
      <c r="D54" s="39"/>
      <c r="E54" s="299">
        <f>'Entrada Prod (diario)'!$D$417</f>
        <v>0</v>
      </c>
      <c r="F54" s="299">
        <f>'Entrada Prod (diario)'!$E$417</f>
        <v>0</v>
      </c>
      <c r="G54" s="39"/>
      <c r="H54" s="39"/>
      <c r="I54" s="211">
        <f>'Entrada Prod (diario)'!$F$417</f>
        <v>0</v>
      </c>
      <c r="J54" s="211">
        <f>'Entrada Prod (diario)'!$G$417</f>
        <v>0</v>
      </c>
      <c r="K54" s="299">
        <f>'Entrada Prod (diario)'!$H$417</f>
        <v>0</v>
      </c>
      <c r="L54" s="330"/>
      <c r="M54" s="299">
        <f>'Entrada Prod (diario)'!$I$417</f>
        <v>0</v>
      </c>
      <c r="N54" s="330"/>
      <c r="O54" s="231">
        <f>'Entrada Prod (diario)'!$J$417</f>
        <v>0</v>
      </c>
      <c r="P54" s="174"/>
      <c r="Q54" s="47">
        <v>462</v>
      </c>
    </row>
    <row r="55" spans="1:21" x14ac:dyDescent="0.25">
      <c r="A55" s="229">
        <f>IF(Info!$J$29&gt;0,A54+7, )</f>
        <v>0</v>
      </c>
      <c r="B55" s="335">
        <v>67</v>
      </c>
      <c r="C55" s="231">
        <f>'Entrada Prod (diario)'!$C$425</f>
        <v>0</v>
      </c>
      <c r="D55" s="39"/>
      <c r="E55" s="299">
        <f>'Entrada Prod (diario)'!$D$425</f>
        <v>0</v>
      </c>
      <c r="F55" s="299">
        <f>'Entrada Prod (diario)'!$E$425</f>
        <v>0</v>
      </c>
      <c r="G55" s="39"/>
      <c r="H55" s="39"/>
      <c r="I55" s="211">
        <f>'Entrada Prod (diario)'!$F$425</f>
        <v>0</v>
      </c>
      <c r="J55" s="211">
        <f>'Entrada Prod (diario)'!$G$425</f>
        <v>0</v>
      </c>
      <c r="K55" s="299">
        <f>'Entrada Prod (diario)'!$H$425</f>
        <v>0</v>
      </c>
      <c r="L55" s="330"/>
      <c r="M55" s="299">
        <f>'Entrada Prod (diario)'!$I$425</f>
        <v>0</v>
      </c>
      <c r="N55" s="330"/>
      <c r="O55" s="231">
        <f>'Entrada Prod (diario)'!$J$425</f>
        <v>0</v>
      </c>
      <c r="P55" s="174"/>
      <c r="Q55" s="47">
        <v>469</v>
      </c>
    </row>
    <row r="56" spans="1:21" x14ac:dyDescent="0.25">
      <c r="A56" s="229">
        <f>IF(Info!$J$29&gt;0,A55+7, )</f>
        <v>0</v>
      </c>
      <c r="B56" s="335">
        <v>68</v>
      </c>
      <c r="C56" s="231">
        <f>'Entrada Prod (diario)'!$C$433</f>
        <v>0</v>
      </c>
      <c r="D56" s="39"/>
      <c r="E56" s="299">
        <f>'Entrada Prod (diario)'!$D$433</f>
        <v>0</v>
      </c>
      <c r="F56" s="299">
        <f>'Entrada Prod (diario)'!$E$433</f>
        <v>0</v>
      </c>
      <c r="G56" s="39"/>
      <c r="H56" s="39"/>
      <c r="I56" s="211">
        <f>'Entrada Prod (diario)'!$F$433</f>
        <v>0</v>
      </c>
      <c r="J56" s="211">
        <f>'Entrada Prod (diario)'!$G$433</f>
        <v>0</v>
      </c>
      <c r="K56" s="299">
        <f>'Entrada Prod (diario)'!$H$433</f>
        <v>0</v>
      </c>
      <c r="L56" s="330"/>
      <c r="M56" s="299">
        <f>'Entrada Prod (diario)'!$I$433</f>
        <v>0</v>
      </c>
      <c r="N56" s="330"/>
      <c r="O56" s="231">
        <f>'Entrada Prod (diario)'!$J$433</f>
        <v>0</v>
      </c>
      <c r="P56" s="174"/>
      <c r="Q56" s="47">
        <v>476</v>
      </c>
    </row>
    <row r="57" spans="1:21" x14ac:dyDescent="0.25">
      <c r="A57" s="229">
        <f>IF(Info!$J$29&gt;0,A56+7, )</f>
        <v>0</v>
      </c>
      <c r="B57" s="335">
        <v>69</v>
      </c>
      <c r="C57" s="231">
        <f>'Entrada Prod (diario)'!$C$441</f>
        <v>0</v>
      </c>
      <c r="D57" s="39"/>
      <c r="E57" s="299">
        <f>'Entrada Prod (diario)'!$D$441</f>
        <v>0</v>
      </c>
      <c r="F57" s="299">
        <f>'Entrada Prod (diario)'!$E$441</f>
        <v>0</v>
      </c>
      <c r="G57" s="39"/>
      <c r="H57" s="39"/>
      <c r="I57" s="211">
        <f>'Entrada Prod (diario)'!$F$441</f>
        <v>0</v>
      </c>
      <c r="J57" s="211">
        <f>'Entrada Prod (diario)'!$G$441</f>
        <v>0</v>
      </c>
      <c r="K57" s="299">
        <f>'Entrada Prod (diario)'!$H$441</f>
        <v>0</v>
      </c>
      <c r="L57" s="330"/>
      <c r="M57" s="299">
        <f>'Entrada Prod (diario)'!$I$441</f>
        <v>0</v>
      </c>
      <c r="N57" s="330"/>
      <c r="O57" s="231">
        <f>'Entrada Prod (diario)'!$J$441</f>
        <v>0</v>
      </c>
      <c r="P57" s="174"/>
      <c r="Q57" s="47">
        <v>483</v>
      </c>
    </row>
    <row r="58" spans="1:21" x14ac:dyDescent="0.25">
      <c r="A58" s="229">
        <f>IF(Info!$J$29&gt;0,A57+7, )</f>
        <v>0</v>
      </c>
      <c r="B58" s="335">
        <v>70</v>
      </c>
      <c r="C58" s="231">
        <f>'Entrada Prod (diario)'!$C$449</f>
        <v>0</v>
      </c>
      <c r="D58" s="39"/>
      <c r="E58" s="299">
        <f>'Entrada Prod (diario)'!$D$449</f>
        <v>0</v>
      </c>
      <c r="F58" s="299">
        <f>'Entrada Prod (diario)'!$E$449</f>
        <v>0</v>
      </c>
      <c r="G58" s="39"/>
      <c r="H58" s="39"/>
      <c r="I58" s="211">
        <f>'Entrada Prod (diario)'!$F$449</f>
        <v>0</v>
      </c>
      <c r="J58" s="211">
        <f>'Entrada Prod (diario)'!$G$449</f>
        <v>0</v>
      </c>
      <c r="K58" s="299">
        <f>'Entrada Prod (diario)'!$H$449</f>
        <v>0</v>
      </c>
      <c r="L58" s="330"/>
      <c r="M58" s="299">
        <f>'Entrada Prod (diario)'!$I$449</f>
        <v>0</v>
      </c>
      <c r="N58" s="330"/>
      <c r="O58" s="231">
        <f>'Entrada Prod (diario)'!$J$449</f>
        <v>0</v>
      </c>
      <c r="P58" s="174"/>
      <c r="Q58" s="47">
        <v>490</v>
      </c>
    </row>
    <row r="59" spans="1:21" x14ac:dyDescent="0.25">
      <c r="A59" s="229">
        <f>IF(Info!$J$29&gt;0,A58+7, )</f>
        <v>0</v>
      </c>
      <c r="B59" s="335">
        <v>71</v>
      </c>
      <c r="C59" s="231">
        <f>'Entrada Prod (diario)'!$C$457</f>
        <v>0</v>
      </c>
      <c r="D59" s="39"/>
      <c r="E59" s="299">
        <f>'Entrada Prod (diario)'!$D$457</f>
        <v>0</v>
      </c>
      <c r="F59" s="299">
        <f>'Entrada Prod (diario)'!$E$457</f>
        <v>0</v>
      </c>
      <c r="G59" s="39"/>
      <c r="H59" s="39"/>
      <c r="I59" s="211">
        <f>'Entrada Prod (diario)'!$F$457</f>
        <v>0</v>
      </c>
      <c r="J59" s="211">
        <f>'Entrada Prod (diario)'!$G$457</f>
        <v>0</v>
      </c>
      <c r="K59" s="299">
        <f>'Entrada Prod (diario)'!$H$457</f>
        <v>0</v>
      </c>
      <c r="L59" s="330"/>
      <c r="M59" s="299">
        <f>'Entrada Prod (diario)'!$I$457</f>
        <v>0</v>
      </c>
      <c r="N59" s="330"/>
      <c r="O59" s="231">
        <f>'Entrada Prod (diario)'!$J$457</f>
        <v>0</v>
      </c>
      <c r="P59" s="174"/>
      <c r="Q59" s="47">
        <v>497</v>
      </c>
    </row>
    <row r="60" spans="1:21" x14ac:dyDescent="0.25">
      <c r="A60" s="229">
        <f>IF(Info!$J$29&gt;0,A59+7, )</f>
        <v>0</v>
      </c>
      <c r="B60" s="335">
        <v>72</v>
      </c>
      <c r="C60" s="231">
        <f>'Entrada Prod (diario)'!$C$465</f>
        <v>0</v>
      </c>
      <c r="D60" s="39"/>
      <c r="E60" s="299">
        <f>'Entrada Prod (diario)'!$D$465</f>
        <v>0</v>
      </c>
      <c r="F60" s="299">
        <f>'Entrada Prod (diario)'!$E$465</f>
        <v>0</v>
      </c>
      <c r="G60" s="39"/>
      <c r="H60" s="39"/>
      <c r="I60" s="211">
        <f>'Entrada Prod (diario)'!$F$465</f>
        <v>0</v>
      </c>
      <c r="J60" s="211">
        <f>'Entrada Prod (diario)'!$G$465</f>
        <v>0</v>
      </c>
      <c r="K60" s="299">
        <f>'Entrada Prod (diario)'!$H$465</f>
        <v>0</v>
      </c>
      <c r="L60" s="330"/>
      <c r="M60" s="299">
        <f>'Entrada Prod (diario)'!$I$465</f>
        <v>0</v>
      </c>
      <c r="N60" s="330"/>
      <c r="O60" s="231">
        <f>'Entrada Prod (diario)'!$J$465</f>
        <v>0</v>
      </c>
      <c r="P60" s="174"/>
      <c r="Q60" s="47">
        <v>504</v>
      </c>
    </row>
    <row r="61" spans="1:21" x14ac:dyDescent="0.25">
      <c r="A61" s="229">
        <f>IF(Info!$J$29&gt;0,A60+7, )</f>
        <v>0</v>
      </c>
      <c r="B61" s="335">
        <v>73</v>
      </c>
      <c r="C61" s="231">
        <f>'Entrada Prod (diario)'!$C$473</f>
        <v>0</v>
      </c>
      <c r="D61" s="39"/>
      <c r="E61" s="299">
        <f>'Entrada Prod (diario)'!$D$473</f>
        <v>0</v>
      </c>
      <c r="F61" s="299">
        <f>'Entrada Prod (diario)'!$E$473</f>
        <v>0</v>
      </c>
      <c r="G61" s="39"/>
      <c r="H61" s="39"/>
      <c r="I61" s="211">
        <f>'Entrada Prod (diario)'!$F$473</f>
        <v>0</v>
      </c>
      <c r="J61" s="211">
        <f>'Entrada Prod (diario)'!$G$473</f>
        <v>0</v>
      </c>
      <c r="K61" s="299">
        <f>'Entrada Prod (diario)'!$H$473</f>
        <v>0</v>
      </c>
      <c r="L61" s="330"/>
      <c r="M61" s="299">
        <f>'Entrada Prod (diario)'!$I$473</f>
        <v>0</v>
      </c>
      <c r="N61" s="330"/>
      <c r="O61" s="231">
        <f>'Entrada Prod (diario)'!$J$473</f>
        <v>0</v>
      </c>
      <c r="P61" s="174"/>
      <c r="Q61" s="47">
        <v>511</v>
      </c>
      <c r="R61" s="9"/>
      <c r="S61" s="126"/>
      <c r="T61" s="12"/>
      <c r="U61" s="12"/>
    </row>
    <row r="62" spans="1:21" x14ac:dyDescent="0.25">
      <c r="A62" s="229">
        <f>IF(Info!$J$29&gt;0,A61+7, )</f>
        <v>0</v>
      </c>
      <c r="B62" s="335">
        <v>74</v>
      </c>
      <c r="C62" s="231">
        <f>'Entrada Prod (diario)'!$C$481</f>
        <v>0</v>
      </c>
      <c r="D62" s="39"/>
      <c r="E62" s="299">
        <f>'Entrada Prod (diario)'!$D$481</f>
        <v>0</v>
      </c>
      <c r="F62" s="299">
        <f>'Entrada Prod (diario)'!$E$481</f>
        <v>0</v>
      </c>
      <c r="G62" s="39"/>
      <c r="H62" s="39"/>
      <c r="I62" s="211">
        <f>'Entrada Prod (diario)'!$F$481</f>
        <v>0</v>
      </c>
      <c r="J62" s="211">
        <f>'Entrada Prod (diario)'!$G$481</f>
        <v>0</v>
      </c>
      <c r="K62" s="299">
        <f>'Entrada Prod (diario)'!$H$481</f>
        <v>0</v>
      </c>
      <c r="L62" s="330"/>
      <c r="M62" s="299">
        <f>'Entrada Prod (diario)'!$I$481</f>
        <v>0</v>
      </c>
      <c r="N62" s="330"/>
      <c r="O62" s="231">
        <f>'Entrada Prod (diario)'!$J$481</f>
        <v>0</v>
      </c>
      <c r="P62" s="174"/>
      <c r="Q62" s="47">
        <v>518</v>
      </c>
      <c r="R62" s="9"/>
      <c r="S62" s="126"/>
      <c r="T62" s="12"/>
      <c r="U62" s="12"/>
    </row>
    <row r="63" spans="1:21" x14ac:dyDescent="0.25">
      <c r="A63" s="229">
        <f>IF(Info!$J$29&gt;0,A62+7, )</f>
        <v>0</v>
      </c>
      <c r="B63" s="335">
        <v>75</v>
      </c>
      <c r="C63" s="231">
        <f>'Entrada Prod (diario)'!$C$489</f>
        <v>0</v>
      </c>
      <c r="D63" s="39"/>
      <c r="E63" s="299">
        <f>'Entrada Prod (diario)'!$D$489</f>
        <v>0</v>
      </c>
      <c r="F63" s="299">
        <f>'Entrada Prod (diario)'!$E$489</f>
        <v>0</v>
      </c>
      <c r="G63" s="39"/>
      <c r="H63" s="39"/>
      <c r="I63" s="211">
        <f>'Entrada Prod (diario)'!$F$489</f>
        <v>0</v>
      </c>
      <c r="J63" s="211">
        <f>'Entrada Prod (diario)'!$G$489</f>
        <v>0</v>
      </c>
      <c r="K63" s="299">
        <f>'Entrada Prod (diario)'!$H$489</f>
        <v>0</v>
      </c>
      <c r="L63" s="330"/>
      <c r="M63" s="299">
        <f>'Entrada Prod (diario)'!$I$489</f>
        <v>0</v>
      </c>
      <c r="N63" s="330"/>
      <c r="O63" s="231">
        <f>'Entrada Prod (diario)'!$J$489</f>
        <v>0</v>
      </c>
      <c r="P63" s="174"/>
      <c r="Q63" s="47">
        <v>525</v>
      </c>
      <c r="R63" s="9"/>
      <c r="S63" s="126"/>
      <c r="T63" s="12"/>
      <c r="U63" s="12"/>
    </row>
    <row r="64" spans="1:21" x14ac:dyDescent="0.25">
      <c r="A64" s="229">
        <f>IF(Info!$J$29&gt;0,A63+7, )</f>
        <v>0</v>
      </c>
      <c r="B64" s="335">
        <v>76</v>
      </c>
      <c r="C64" s="231">
        <f>'Entrada Prod (diario)'!$C$497</f>
        <v>0</v>
      </c>
      <c r="D64" s="39"/>
      <c r="E64" s="299">
        <f>'Entrada Prod (diario)'!$D$497</f>
        <v>0</v>
      </c>
      <c r="F64" s="299">
        <f>'Entrada Prod (diario)'!$E$497</f>
        <v>0</v>
      </c>
      <c r="G64" s="39"/>
      <c r="H64" s="39"/>
      <c r="I64" s="211">
        <f>'Entrada Prod (diario)'!$F$497</f>
        <v>0</v>
      </c>
      <c r="J64" s="211">
        <f>'Entrada Prod (diario)'!$G$497</f>
        <v>0</v>
      </c>
      <c r="K64" s="299">
        <f>'Entrada Prod (diario)'!$H$497</f>
        <v>0</v>
      </c>
      <c r="L64" s="330"/>
      <c r="M64" s="299">
        <f>'Entrada Prod (diario)'!$I$497</f>
        <v>0</v>
      </c>
      <c r="N64" s="330"/>
      <c r="O64" s="231">
        <f>'Entrada Prod (diario)'!$J$497</f>
        <v>0</v>
      </c>
      <c r="P64" s="174"/>
      <c r="Q64" s="47">
        <v>532</v>
      </c>
      <c r="R64" s="9"/>
      <c r="S64" s="126"/>
      <c r="T64" s="12"/>
      <c r="U64" s="12"/>
    </row>
    <row r="65" spans="1:21" x14ac:dyDescent="0.25">
      <c r="A65" s="229">
        <f>IF(Info!$J$29&gt;0,A64+7, )</f>
        <v>0</v>
      </c>
      <c r="B65" s="335">
        <v>77</v>
      </c>
      <c r="C65" s="231">
        <f>'Entrada Prod (diario)'!$C$505</f>
        <v>0</v>
      </c>
      <c r="D65" s="39"/>
      <c r="E65" s="299">
        <f>'Entrada Prod (diario)'!$D$505</f>
        <v>0</v>
      </c>
      <c r="F65" s="299">
        <f>'Entrada Prod (diario)'!$E$505</f>
        <v>0</v>
      </c>
      <c r="G65" s="39"/>
      <c r="H65" s="39"/>
      <c r="I65" s="211">
        <f>'Entrada Prod (diario)'!$F$505</f>
        <v>0</v>
      </c>
      <c r="J65" s="211">
        <f>'Entrada Prod (diario)'!$G$505</f>
        <v>0</v>
      </c>
      <c r="K65" s="299">
        <f>'Entrada Prod (diario)'!$H$505</f>
        <v>0</v>
      </c>
      <c r="L65" s="330"/>
      <c r="M65" s="299">
        <f>'Entrada Prod (diario)'!$I$505</f>
        <v>0</v>
      </c>
      <c r="N65" s="330"/>
      <c r="O65" s="231">
        <f>'Entrada Prod (diario)'!$J$505</f>
        <v>0</v>
      </c>
      <c r="P65" s="174"/>
      <c r="Q65" s="47">
        <v>539</v>
      </c>
      <c r="R65" s="9"/>
      <c r="S65" s="126"/>
      <c r="T65" s="12"/>
      <c r="U65" s="12"/>
    </row>
    <row r="66" spans="1:21" x14ac:dyDescent="0.25">
      <c r="A66" s="229">
        <f>IF(Info!$J$29&gt;0,A65+7, )</f>
        <v>0</v>
      </c>
      <c r="B66" s="335">
        <v>78</v>
      </c>
      <c r="C66" s="231">
        <f>'Entrada Prod (diario)'!$C$513</f>
        <v>0</v>
      </c>
      <c r="D66" s="39"/>
      <c r="E66" s="299">
        <f>'Entrada Prod (diario)'!$D$513</f>
        <v>0</v>
      </c>
      <c r="F66" s="299">
        <f>'Entrada Prod (diario)'!$E$513</f>
        <v>0</v>
      </c>
      <c r="G66" s="39"/>
      <c r="H66" s="39"/>
      <c r="I66" s="211">
        <f>'Entrada Prod (diario)'!$F$513</f>
        <v>0</v>
      </c>
      <c r="J66" s="211">
        <f>'Entrada Prod (diario)'!$G$513</f>
        <v>0</v>
      </c>
      <c r="K66" s="299">
        <f>'Entrada Prod (diario)'!$H$513</f>
        <v>0</v>
      </c>
      <c r="L66" s="330"/>
      <c r="M66" s="299">
        <f>'Entrada Prod (diario)'!$I$513</f>
        <v>0</v>
      </c>
      <c r="N66" s="330"/>
      <c r="O66" s="231">
        <f>'Entrada Prod (diario)'!$J$513</f>
        <v>0</v>
      </c>
      <c r="P66" s="174"/>
      <c r="Q66" s="47">
        <v>546</v>
      </c>
      <c r="R66" s="9"/>
      <c r="S66" s="126"/>
      <c r="T66" s="12"/>
      <c r="U66" s="12"/>
    </row>
    <row r="67" spans="1:21" x14ac:dyDescent="0.25">
      <c r="A67" s="229">
        <f>IF(Info!$J$29&gt;0,A66+7, )</f>
        <v>0</v>
      </c>
      <c r="B67" s="335">
        <v>79</v>
      </c>
      <c r="C67" s="231">
        <f>'Entrada Prod (diario)'!$C$521</f>
        <v>0</v>
      </c>
      <c r="D67" s="39"/>
      <c r="E67" s="299">
        <f>'Entrada Prod (diario)'!$D$521</f>
        <v>0</v>
      </c>
      <c r="F67" s="299">
        <f>'Entrada Prod (diario)'!$E$521</f>
        <v>0</v>
      </c>
      <c r="G67" s="39"/>
      <c r="H67" s="39"/>
      <c r="I67" s="211">
        <f>'Entrada Prod (diario)'!$F$521</f>
        <v>0</v>
      </c>
      <c r="J67" s="211">
        <f>'Entrada Prod (diario)'!$G$521</f>
        <v>0</v>
      </c>
      <c r="K67" s="299">
        <f>'Entrada Prod (diario)'!$H$521</f>
        <v>0</v>
      </c>
      <c r="L67" s="330"/>
      <c r="M67" s="299">
        <f>'Entrada Prod (diario)'!$I$521</f>
        <v>0</v>
      </c>
      <c r="N67" s="330"/>
      <c r="O67" s="231">
        <f>'Entrada Prod (diario)'!$J$521</f>
        <v>0</v>
      </c>
      <c r="P67" s="174"/>
      <c r="Q67" s="47">
        <v>553</v>
      </c>
      <c r="R67" s="9"/>
      <c r="S67" s="126"/>
      <c r="T67" s="12"/>
      <c r="U67" s="12"/>
    </row>
    <row r="68" spans="1:21" x14ac:dyDescent="0.25">
      <c r="A68" s="229">
        <f>IF(Info!$J$29&gt;0,A67+7, )</f>
        <v>0</v>
      </c>
      <c r="B68" s="335">
        <v>80</v>
      </c>
      <c r="C68" s="231">
        <f>'Entrada Prod (diario)'!$C$529</f>
        <v>0</v>
      </c>
      <c r="D68" s="39"/>
      <c r="E68" s="299">
        <f>'Entrada Prod (diario)'!$D$529</f>
        <v>0</v>
      </c>
      <c r="F68" s="299">
        <f>'Entrada Prod (diario)'!$E$529</f>
        <v>0</v>
      </c>
      <c r="G68" s="39"/>
      <c r="H68" s="39"/>
      <c r="I68" s="211">
        <f>'Entrada Prod (diario)'!$F$529</f>
        <v>0</v>
      </c>
      <c r="J68" s="211">
        <f>'Entrada Prod (diario)'!$G$529</f>
        <v>0</v>
      </c>
      <c r="K68" s="299">
        <f>'Entrada Prod (diario)'!$H$529</f>
        <v>0</v>
      </c>
      <c r="L68" s="330"/>
      <c r="M68" s="299">
        <f>'Entrada Prod (diario)'!$I$529</f>
        <v>0</v>
      </c>
      <c r="N68" s="330"/>
      <c r="O68" s="231">
        <f>'Entrada Prod (diario)'!$J$529</f>
        <v>0</v>
      </c>
      <c r="P68" s="174"/>
      <c r="Q68" s="47">
        <v>560</v>
      </c>
      <c r="R68" s="9"/>
      <c r="S68" s="126"/>
      <c r="T68" s="12"/>
      <c r="U68" s="12"/>
    </row>
    <row r="69" spans="1:21" x14ac:dyDescent="0.25">
      <c r="A69" s="229">
        <f>IF(Info!$J$29&gt;0,A68+7, )</f>
        <v>0</v>
      </c>
      <c r="B69" s="335">
        <v>81</v>
      </c>
      <c r="C69" s="231">
        <f>'Entrada Prod (diario)'!$C$537</f>
        <v>0</v>
      </c>
      <c r="D69" s="39"/>
      <c r="E69" s="299">
        <f>'Entrada Prod (diario)'!$D$537</f>
        <v>0</v>
      </c>
      <c r="F69" s="299">
        <f>'Entrada Prod (diario)'!$E$537</f>
        <v>0</v>
      </c>
      <c r="G69" s="39"/>
      <c r="H69" s="39"/>
      <c r="I69" s="211">
        <f>'Entrada Prod (diario)'!$F$537</f>
        <v>0</v>
      </c>
      <c r="J69" s="211">
        <f>'Entrada Prod (diario)'!$G$537</f>
        <v>0</v>
      </c>
      <c r="K69" s="299">
        <f>'Entrada Prod (diario)'!$H$537</f>
        <v>0</v>
      </c>
      <c r="L69" s="330"/>
      <c r="M69" s="299">
        <f>'Entrada Prod (diario)'!$I$537</f>
        <v>0</v>
      </c>
      <c r="N69" s="330"/>
      <c r="O69" s="231">
        <f>'Entrada Prod (diario)'!$J$537</f>
        <v>0</v>
      </c>
      <c r="P69" s="174"/>
      <c r="Q69" s="47">
        <v>567</v>
      </c>
      <c r="R69" s="9"/>
      <c r="S69" s="126"/>
      <c r="T69" s="12"/>
      <c r="U69" s="12"/>
    </row>
    <row r="70" spans="1:21" x14ac:dyDescent="0.25">
      <c r="A70" s="229">
        <f>IF(Info!$J$29&gt;0,A69+7, )</f>
        <v>0</v>
      </c>
      <c r="B70" s="335">
        <v>82</v>
      </c>
      <c r="C70" s="231">
        <f>'Entrada Prod (diario)'!$C$545</f>
        <v>0</v>
      </c>
      <c r="D70" s="39"/>
      <c r="E70" s="299">
        <f>'Entrada Prod (diario)'!$D$545</f>
        <v>0</v>
      </c>
      <c r="F70" s="299">
        <f>'Entrada Prod (diario)'!$E$545</f>
        <v>0</v>
      </c>
      <c r="G70" s="39"/>
      <c r="H70" s="39"/>
      <c r="I70" s="211">
        <f>'Entrada Prod (diario)'!$F$545</f>
        <v>0</v>
      </c>
      <c r="J70" s="211">
        <f>'Entrada Prod (diario)'!$G$545</f>
        <v>0</v>
      </c>
      <c r="K70" s="299">
        <f>'Entrada Prod (diario)'!$H$545</f>
        <v>0</v>
      </c>
      <c r="L70" s="330"/>
      <c r="M70" s="299">
        <f>'Entrada Prod (diario)'!$I$545</f>
        <v>0</v>
      </c>
      <c r="N70" s="330"/>
      <c r="O70" s="231">
        <f>'Entrada Prod (diario)'!$J$545</f>
        <v>0</v>
      </c>
      <c r="P70" s="174"/>
      <c r="Q70" s="47">
        <v>574</v>
      </c>
      <c r="R70" s="9"/>
      <c r="S70" s="126"/>
      <c r="T70" s="12"/>
      <c r="U70" s="12"/>
    </row>
    <row r="71" spans="1:21" x14ac:dyDescent="0.25">
      <c r="A71" s="229">
        <f>IF(Info!$J$29&gt;0,A70+7, )</f>
        <v>0</v>
      </c>
      <c r="B71" s="335">
        <v>83</v>
      </c>
      <c r="C71" s="231">
        <f>'Entrada Prod (diario)'!$C$553</f>
        <v>0</v>
      </c>
      <c r="D71" s="39"/>
      <c r="E71" s="299">
        <f>'Entrada Prod (diario)'!$D$553</f>
        <v>0</v>
      </c>
      <c r="F71" s="299">
        <f>'Entrada Prod (diario)'!$E$553</f>
        <v>0</v>
      </c>
      <c r="G71" s="39"/>
      <c r="H71" s="39"/>
      <c r="I71" s="211">
        <f>'Entrada Prod (diario)'!$F$553</f>
        <v>0</v>
      </c>
      <c r="J71" s="211">
        <f>'Entrada Prod (diario)'!$G$553</f>
        <v>0</v>
      </c>
      <c r="K71" s="299">
        <f>'Entrada Prod (diario)'!$H$553</f>
        <v>0</v>
      </c>
      <c r="L71" s="330"/>
      <c r="M71" s="299">
        <f>'Entrada Prod (diario)'!$I$553</f>
        <v>0</v>
      </c>
      <c r="N71" s="330"/>
      <c r="O71" s="231">
        <f>'Entrada Prod (diario)'!$J$553</f>
        <v>0</v>
      </c>
      <c r="P71" s="174"/>
      <c r="Q71" s="47">
        <v>581</v>
      </c>
      <c r="R71" s="9"/>
      <c r="S71" s="126"/>
      <c r="T71" s="12"/>
      <c r="U71" s="12"/>
    </row>
    <row r="72" spans="1:21" x14ac:dyDescent="0.25">
      <c r="A72" s="229">
        <f>IF(Info!$J$29&gt;0,A71+7, )</f>
        <v>0</v>
      </c>
      <c r="B72" s="335">
        <v>84</v>
      </c>
      <c r="C72" s="231">
        <f>'Entrada Prod (diario)'!$C$561</f>
        <v>0</v>
      </c>
      <c r="D72" s="39"/>
      <c r="E72" s="299">
        <f>'Entrada Prod (diario)'!$D$561</f>
        <v>0</v>
      </c>
      <c r="F72" s="299">
        <f>'Entrada Prod (diario)'!$E$561</f>
        <v>0</v>
      </c>
      <c r="G72" s="39"/>
      <c r="H72" s="39"/>
      <c r="I72" s="211">
        <f>'Entrada Prod (diario)'!$F$561</f>
        <v>0</v>
      </c>
      <c r="J72" s="211">
        <f>'Entrada Prod (diario)'!$G$561</f>
        <v>0</v>
      </c>
      <c r="K72" s="299">
        <f>'Entrada Prod (diario)'!$H$561</f>
        <v>0</v>
      </c>
      <c r="L72" s="330"/>
      <c r="M72" s="299">
        <f>'Entrada Prod (diario)'!$I$561</f>
        <v>0</v>
      </c>
      <c r="N72" s="330"/>
      <c r="O72" s="231">
        <f>'Entrada Prod (diario)'!$J$561</f>
        <v>0</v>
      </c>
      <c r="P72" s="174"/>
      <c r="Q72" s="47">
        <v>588</v>
      </c>
      <c r="R72" s="9"/>
      <c r="S72" s="126"/>
      <c r="T72" s="12"/>
      <c r="U72" s="12"/>
    </row>
    <row r="73" spans="1:21" x14ac:dyDescent="0.25">
      <c r="A73" s="229">
        <f>IF(Info!$J$29&gt;0,A72+7, )</f>
        <v>0</v>
      </c>
      <c r="B73" s="335">
        <v>85</v>
      </c>
      <c r="C73" s="231">
        <f>'Entrada Prod (diario)'!$C$569</f>
        <v>0</v>
      </c>
      <c r="D73" s="39"/>
      <c r="E73" s="299">
        <f>'Entrada Prod (diario)'!$D$569</f>
        <v>0</v>
      </c>
      <c r="F73" s="299">
        <f>'Entrada Prod (diario)'!$E$569</f>
        <v>0</v>
      </c>
      <c r="G73" s="39"/>
      <c r="H73" s="39"/>
      <c r="I73" s="211">
        <f>'Entrada Prod (diario)'!$F$569</f>
        <v>0</v>
      </c>
      <c r="J73" s="211">
        <f>'Entrada Prod (diario)'!$G$569</f>
        <v>0</v>
      </c>
      <c r="K73" s="299">
        <f>'Entrada Prod (diario)'!$H$569</f>
        <v>0</v>
      </c>
      <c r="L73" s="330"/>
      <c r="M73" s="299">
        <f>'Entrada Prod (diario)'!$I$569</f>
        <v>0</v>
      </c>
      <c r="N73" s="330"/>
      <c r="O73" s="231">
        <f>'Entrada Prod (diario)'!$J$569</f>
        <v>0</v>
      </c>
      <c r="P73" s="174"/>
      <c r="Q73" s="47">
        <v>595</v>
      </c>
      <c r="R73" s="9"/>
      <c r="S73" s="126"/>
      <c r="T73" s="12"/>
      <c r="U73" s="12"/>
    </row>
    <row r="74" spans="1:21" x14ac:dyDescent="0.25">
      <c r="A74" s="229">
        <f>IF(Info!$J$29&gt;0,A73+7, )</f>
        <v>0</v>
      </c>
      <c r="B74" s="335">
        <v>86</v>
      </c>
      <c r="C74" s="231">
        <f>'Entrada Prod (diario)'!$C$577</f>
        <v>0</v>
      </c>
      <c r="D74" s="39"/>
      <c r="E74" s="299">
        <f>'Entrada Prod (diario)'!$D$577</f>
        <v>0</v>
      </c>
      <c r="F74" s="299">
        <f>'Entrada Prod (diario)'!$E$577</f>
        <v>0</v>
      </c>
      <c r="G74" s="39"/>
      <c r="H74" s="39"/>
      <c r="I74" s="211">
        <f>'Entrada Prod (diario)'!$F$577</f>
        <v>0</v>
      </c>
      <c r="J74" s="211">
        <f>'Entrada Prod (diario)'!$G$577</f>
        <v>0</v>
      </c>
      <c r="K74" s="299">
        <f>'Entrada Prod (diario)'!$H$577</f>
        <v>0</v>
      </c>
      <c r="L74" s="330"/>
      <c r="M74" s="299">
        <f>'Entrada Prod (diario)'!$I$577</f>
        <v>0</v>
      </c>
      <c r="N74" s="330"/>
      <c r="O74" s="231">
        <f>'Entrada Prod (diario)'!$J$577</f>
        <v>0</v>
      </c>
      <c r="P74" s="174"/>
      <c r="Q74" s="47">
        <v>602</v>
      </c>
      <c r="R74" s="9"/>
      <c r="S74" s="126"/>
      <c r="T74" s="12"/>
      <c r="U74" s="12"/>
    </row>
    <row r="75" spans="1:21" x14ac:dyDescent="0.25">
      <c r="A75" s="229">
        <f>IF(Info!$J$29&gt;0,A74+7, )</f>
        <v>0</v>
      </c>
      <c r="B75" s="335">
        <v>87</v>
      </c>
      <c r="C75" s="231">
        <f>'Entrada Prod (diario)'!$C$585</f>
        <v>0</v>
      </c>
      <c r="D75" s="39"/>
      <c r="E75" s="299">
        <f>'Entrada Prod (diario)'!$D$585</f>
        <v>0</v>
      </c>
      <c r="F75" s="299">
        <f>'Entrada Prod (diario)'!$E$585</f>
        <v>0</v>
      </c>
      <c r="G75" s="39"/>
      <c r="H75" s="39"/>
      <c r="I75" s="211">
        <f>'Entrada Prod (diario)'!$F$585</f>
        <v>0</v>
      </c>
      <c r="J75" s="211">
        <f>'Entrada Prod (diario)'!$G$585</f>
        <v>0</v>
      </c>
      <c r="K75" s="299">
        <f>'Entrada Prod (diario)'!$H$585</f>
        <v>0</v>
      </c>
      <c r="L75" s="330"/>
      <c r="M75" s="299">
        <f>'Entrada Prod (diario)'!$I$585</f>
        <v>0</v>
      </c>
      <c r="N75" s="330"/>
      <c r="O75" s="231">
        <f>'Entrada Prod (diario)'!$J$585</f>
        <v>0</v>
      </c>
      <c r="P75" s="174"/>
      <c r="Q75" s="47">
        <v>609</v>
      </c>
      <c r="R75" s="9"/>
      <c r="S75" s="126"/>
      <c r="T75" s="12"/>
      <c r="U75" s="12"/>
    </row>
    <row r="76" spans="1:21" x14ac:dyDescent="0.25">
      <c r="A76" s="229">
        <f>IF(Info!$J$29&gt;0,A75+7, )</f>
        <v>0</v>
      </c>
      <c r="B76" s="335">
        <v>88</v>
      </c>
      <c r="C76" s="231">
        <f>'Entrada Prod (diario)'!$C$593</f>
        <v>0</v>
      </c>
      <c r="D76" s="39"/>
      <c r="E76" s="299">
        <f>'Entrada Prod (diario)'!$D$593</f>
        <v>0</v>
      </c>
      <c r="F76" s="299">
        <f>'Entrada Prod (diario)'!$E$593</f>
        <v>0</v>
      </c>
      <c r="G76" s="39"/>
      <c r="H76" s="39"/>
      <c r="I76" s="211">
        <f>'Entrada Prod (diario)'!$F$593</f>
        <v>0</v>
      </c>
      <c r="J76" s="211">
        <f>'Entrada Prod (diario)'!$G$593</f>
        <v>0</v>
      </c>
      <c r="K76" s="299">
        <f>'Entrada Prod (diario)'!$H$593</f>
        <v>0</v>
      </c>
      <c r="L76" s="330"/>
      <c r="M76" s="299">
        <f>'Entrada Prod (diario)'!$I$593</f>
        <v>0</v>
      </c>
      <c r="N76" s="330"/>
      <c r="O76" s="231">
        <f>'Entrada Prod (diario)'!$J$593</f>
        <v>0</v>
      </c>
      <c r="P76" s="174"/>
      <c r="Q76" s="47">
        <v>616</v>
      </c>
      <c r="R76" s="9"/>
      <c r="S76" s="126"/>
      <c r="T76" s="12"/>
      <c r="U76" s="12"/>
    </row>
    <row r="77" spans="1:21" x14ac:dyDescent="0.25">
      <c r="A77" s="229">
        <f>IF(Info!$J$29&gt;0,A76+7, )</f>
        <v>0</v>
      </c>
      <c r="B77" s="335">
        <v>89</v>
      </c>
      <c r="C77" s="231">
        <f>'Entrada Prod (diario)'!$C$601</f>
        <v>0</v>
      </c>
      <c r="D77" s="39"/>
      <c r="E77" s="299">
        <f>'Entrada Prod (diario)'!$D$601</f>
        <v>0</v>
      </c>
      <c r="F77" s="299">
        <f>'Entrada Prod (diario)'!$E$601</f>
        <v>0</v>
      </c>
      <c r="G77" s="39"/>
      <c r="H77" s="39"/>
      <c r="I77" s="211">
        <f>'Entrada Prod (diario)'!$F$601</f>
        <v>0</v>
      </c>
      <c r="J77" s="211">
        <f>'Entrada Prod (diario)'!$G$601</f>
        <v>0</v>
      </c>
      <c r="K77" s="299">
        <f>'Entrada Prod (diario)'!$H$601</f>
        <v>0</v>
      </c>
      <c r="L77" s="330"/>
      <c r="M77" s="299">
        <f>'Entrada Prod (diario)'!$I$601</f>
        <v>0</v>
      </c>
      <c r="N77" s="330"/>
      <c r="O77" s="231">
        <f>'Entrada Prod (diario)'!$J$601</f>
        <v>0</v>
      </c>
      <c r="P77" s="174"/>
      <c r="Q77" s="47">
        <v>623</v>
      </c>
      <c r="R77" s="9"/>
      <c r="S77" s="126"/>
      <c r="T77" s="12"/>
      <c r="U77" s="12"/>
    </row>
    <row r="78" spans="1:21" x14ac:dyDescent="0.25">
      <c r="A78" s="229">
        <f>IF(Info!$J$29&gt;0,A77+7, )</f>
        <v>0</v>
      </c>
      <c r="B78" s="335">
        <v>90</v>
      </c>
      <c r="C78" s="231">
        <f>'Entrada Prod (diario)'!$C$609</f>
        <v>0</v>
      </c>
      <c r="D78" s="39"/>
      <c r="E78" s="299">
        <f>'Entrada Prod (diario)'!$D$609</f>
        <v>0</v>
      </c>
      <c r="F78" s="299">
        <f>'Entrada Prod (diario)'!$E$609</f>
        <v>0</v>
      </c>
      <c r="G78" s="39"/>
      <c r="H78" s="39"/>
      <c r="I78" s="211">
        <f>'Entrada Prod (diario)'!$F$609</f>
        <v>0</v>
      </c>
      <c r="J78" s="211">
        <f>'Entrada Prod (diario)'!$G$609</f>
        <v>0</v>
      </c>
      <c r="K78" s="299">
        <f>'Entrada Prod (diario)'!$H$609</f>
        <v>0</v>
      </c>
      <c r="L78" s="330"/>
      <c r="M78" s="299">
        <f>'Entrada Prod (diario)'!$I$609</f>
        <v>0</v>
      </c>
      <c r="N78" s="330"/>
      <c r="O78" s="231">
        <f>'Entrada Prod (diario)'!$J$609</f>
        <v>0</v>
      </c>
      <c r="P78" s="174"/>
      <c r="Q78" s="47">
        <v>630</v>
      </c>
      <c r="R78" s="9"/>
      <c r="S78" s="126"/>
      <c r="T78" s="12"/>
      <c r="U78" s="12"/>
    </row>
    <row r="79" spans="1:21" x14ac:dyDescent="0.25">
      <c r="A79" s="229">
        <f>IF(Info!$J$29&gt;0,A78+7, )</f>
        <v>0</v>
      </c>
      <c r="B79" s="335">
        <v>91</v>
      </c>
      <c r="C79" s="231">
        <f>'Entrada Prod (diario)'!$C$617</f>
        <v>0</v>
      </c>
      <c r="D79" s="39"/>
      <c r="E79" s="299">
        <f>'Entrada Prod (diario)'!$D$617</f>
        <v>0</v>
      </c>
      <c r="F79" s="299">
        <f>'Entrada Prod (diario)'!$E$617</f>
        <v>0</v>
      </c>
      <c r="G79" s="39"/>
      <c r="H79" s="39"/>
      <c r="I79" s="211">
        <f>'Entrada Prod (diario)'!$F$617</f>
        <v>0</v>
      </c>
      <c r="J79" s="211">
        <f>'Entrada Prod (diario)'!$G$617</f>
        <v>0</v>
      </c>
      <c r="K79" s="299">
        <f>'Entrada Prod (diario)'!$H$617</f>
        <v>0</v>
      </c>
      <c r="L79" s="330"/>
      <c r="M79" s="299">
        <f>'Entrada Prod (diario)'!$I$617</f>
        <v>0</v>
      </c>
      <c r="N79" s="330"/>
      <c r="O79" s="231">
        <f>'Entrada Prod (diario)'!$J$617</f>
        <v>0</v>
      </c>
      <c r="P79" s="174"/>
      <c r="Q79" s="47">
        <v>637</v>
      </c>
      <c r="R79" s="9"/>
      <c r="S79" s="126"/>
      <c r="T79" s="12"/>
      <c r="U79" s="12"/>
    </row>
    <row r="80" spans="1:21" x14ac:dyDescent="0.25">
      <c r="A80" s="229">
        <f>IF(Info!$J$29&gt;0,A79+7, )</f>
        <v>0</v>
      </c>
      <c r="B80" s="335">
        <v>92</v>
      </c>
      <c r="C80" s="231">
        <f>'Entrada Prod (diario)'!$C$625</f>
        <v>0</v>
      </c>
      <c r="D80" s="39"/>
      <c r="E80" s="299">
        <f>'Entrada Prod (diario)'!$D$625</f>
        <v>0</v>
      </c>
      <c r="F80" s="299">
        <f>'Entrada Prod (diario)'!$E$625</f>
        <v>0</v>
      </c>
      <c r="G80" s="39"/>
      <c r="H80" s="39"/>
      <c r="I80" s="211">
        <f>'Entrada Prod (diario)'!$F$625</f>
        <v>0</v>
      </c>
      <c r="J80" s="211">
        <f>'Entrada Prod (diario)'!$G$625</f>
        <v>0</v>
      </c>
      <c r="K80" s="299">
        <f>'Entrada Prod (diario)'!$H$625</f>
        <v>0</v>
      </c>
      <c r="L80" s="330"/>
      <c r="M80" s="299">
        <f>'Entrada Prod (diario)'!$I$625</f>
        <v>0</v>
      </c>
      <c r="N80" s="330"/>
      <c r="O80" s="231">
        <f>'Entrada Prod (diario)'!$J$625</f>
        <v>0</v>
      </c>
      <c r="P80" s="174"/>
      <c r="Q80" s="47">
        <v>644</v>
      </c>
      <c r="R80" s="9"/>
      <c r="S80" s="126"/>
      <c r="T80" s="12"/>
      <c r="U80" s="12"/>
    </row>
    <row r="81" spans="1:21" x14ac:dyDescent="0.25">
      <c r="A81" s="229">
        <f>IF(Info!$J$29&gt;0,A80+7, )</f>
        <v>0</v>
      </c>
      <c r="B81" s="335">
        <v>93</v>
      </c>
      <c r="C81" s="231">
        <f>'Entrada Prod (diario)'!$C$633</f>
        <v>0</v>
      </c>
      <c r="D81" s="39"/>
      <c r="E81" s="299">
        <f>'Entrada Prod (diario)'!$D$633</f>
        <v>0</v>
      </c>
      <c r="F81" s="299">
        <f>'Entrada Prod (diario)'!$E$633</f>
        <v>0</v>
      </c>
      <c r="G81" s="39"/>
      <c r="H81" s="39"/>
      <c r="I81" s="211">
        <f>'Entrada Prod (diario)'!$F$633</f>
        <v>0</v>
      </c>
      <c r="J81" s="211">
        <f>'Entrada Prod (diario)'!$G$633</f>
        <v>0</v>
      </c>
      <c r="K81" s="299">
        <f>'Entrada Prod (diario)'!$H$633</f>
        <v>0</v>
      </c>
      <c r="L81" s="330"/>
      <c r="M81" s="299">
        <f>'Entrada Prod (diario)'!$I$633</f>
        <v>0</v>
      </c>
      <c r="N81" s="330"/>
      <c r="O81" s="231">
        <f>'Entrada Prod (diario)'!$J$633</f>
        <v>0</v>
      </c>
      <c r="P81" s="174"/>
      <c r="Q81" s="47">
        <v>651</v>
      </c>
      <c r="R81" s="9"/>
      <c r="S81" s="126"/>
      <c r="T81" s="12"/>
      <c r="U81" s="12"/>
    </row>
    <row r="82" spans="1:21" x14ac:dyDescent="0.25">
      <c r="A82" s="229">
        <f>IF(Info!$J$29&gt;0,A81+7, )</f>
        <v>0</v>
      </c>
      <c r="B82" s="335">
        <v>94</v>
      </c>
      <c r="C82" s="231">
        <f>'Entrada Prod (diario)'!$C$641</f>
        <v>0</v>
      </c>
      <c r="D82" s="39"/>
      <c r="E82" s="299">
        <f>'Entrada Prod (diario)'!$D$641</f>
        <v>0</v>
      </c>
      <c r="F82" s="299">
        <f>'Entrada Prod (diario)'!$E$641</f>
        <v>0</v>
      </c>
      <c r="G82" s="39"/>
      <c r="H82" s="39"/>
      <c r="I82" s="211">
        <f>'Entrada Prod (diario)'!$F$641</f>
        <v>0</v>
      </c>
      <c r="J82" s="211">
        <f>'Entrada Prod (diario)'!$G$641</f>
        <v>0</v>
      </c>
      <c r="K82" s="299">
        <f>'Entrada Prod (diario)'!$H$641</f>
        <v>0</v>
      </c>
      <c r="L82" s="330"/>
      <c r="M82" s="299">
        <f>'Entrada Prod (diario)'!$I$641</f>
        <v>0</v>
      </c>
      <c r="N82" s="330"/>
      <c r="O82" s="231">
        <f>'Entrada Prod (diario)'!$J$641</f>
        <v>0</v>
      </c>
      <c r="P82" s="174"/>
      <c r="Q82" s="47">
        <v>658</v>
      </c>
      <c r="R82" s="9"/>
      <c r="S82" s="126"/>
      <c r="T82" s="12"/>
      <c r="U82" s="12"/>
    </row>
    <row r="83" spans="1:21" x14ac:dyDescent="0.25">
      <c r="A83" s="229">
        <f>IF(Info!$J$29&gt;0,A82+7, )</f>
        <v>0</v>
      </c>
      <c r="B83" s="335">
        <v>95</v>
      </c>
      <c r="C83" s="231">
        <f>'Entrada Prod (diario)'!$C$649</f>
        <v>0</v>
      </c>
      <c r="D83" s="39"/>
      <c r="E83" s="299">
        <f>'Entrada Prod (diario)'!$D$649</f>
        <v>0</v>
      </c>
      <c r="F83" s="299">
        <f>'Entrada Prod (diario)'!$E$649</f>
        <v>0</v>
      </c>
      <c r="G83" s="39"/>
      <c r="H83" s="39"/>
      <c r="I83" s="211">
        <f>'Entrada Prod (diario)'!$F$649</f>
        <v>0</v>
      </c>
      <c r="J83" s="211">
        <f>'Entrada Prod (diario)'!$G$649</f>
        <v>0</v>
      </c>
      <c r="K83" s="299">
        <f>'Entrada Prod (diario)'!$H$649</f>
        <v>0</v>
      </c>
      <c r="L83" s="330"/>
      <c r="M83" s="299">
        <f>'Entrada Prod (diario)'!$I$649</f>
        <v>0</v>
      </c>
      <c r="N83" s="330"/>
      <c r="O83" s="231">
        <f>'Entrada Prod (diario)'!$J$649</f>
        <v>0</v>
      </c>
      <c r="P83" s="174"/>
      <c r="Q83" s="47">
        <v>665</v>
      </c>
      <c r="R83" s="9"/>
      <c r="S83" s="126"/>
      <c r="T83" s="12"/>
      <c r="U83" s="12"/>
    </row>
    <row r="84" spans="1:21" x14ac:dyDescent="0.25">
      <c r="A84" s="229">
        <f>IF(Info!$J$29&gt;0,A83+7, )</f>
        <v>0</v>
      </c>
      <c r="B84" s="335">
        <v>96</v>
      </c>
      <c r="C84" s="231">
        <f>'Entrada Prod (diario)'!$C$657</f>
        <v>0</v>
      </c>
      <c r="D84" s="39"/>
      <c r="E84" s="299">
        <f>'Entrada Prod (diario)'!$D$657</f>
        <v>0</v>
      </c>
      <c r="F84" s="299">
        <f>'Entrada Prod (diario)'!$E$657</f>
        <v>0</v>
      </c>
      <c r="G84" s="39"/>
      <c r="H84" s="39"/>
      <c r="I84" s="211">
        <f>'Entrada Prod (diario)'!$F$657</f>
        <v>0</v>
      </c>
      <c r="J84" s="211">
        <f>'Entrada Prod (diario)'!$G$657</f>
        <v>0</v>
      </c>
      <c r="K84" s="299">
        <f>'Entrada Prod (diario)'!$H$657</f>
        <v>0</v>
      </c>
      <c r="L84" s="330"/>
      <c r="M84" s="299">
        <f>'Entrada Prod (diario)'!$I$657</f>
        <v>0</v>
      </c>
      <c r="N84" s="330"/>
      <c r="O84" s="231">
        <f>'Entrada Prod (diario)'!$J$657</f>
        <v>0</v>
      </c>
      <c r="P84" s="174"/>
      <c r="Q84" s="47">
        <v>672</v>
      </c>
      <c r="R84" s="9"/>
      <c r="S84" s="126"/>
      <c r="T84" s="12"/>
      <c r="U84" s="12"/>
    </row>
    <row r="85" spans="1:21" x14ac:dyDescent="0.25">
      <c r="A85" s="229">
        <f>IF(Info!$J$29&gt;0,A84+7, )</f>
        <v>0</v>
      </c>
      <c r="B85" s="335">
        <v>97</v>
      </c>
      <c r="C85" s="231">
        <f>'Entrada Prod (diario)'!$C$665</f>
        <v>0</v>
      </c>
      <c r="D85" s="39"/>
      <c r="E85" s="299">
        <f>'Entrada Prod (diario)'!$D$665</f>
        <v>0</v>
      </c>
      <c r="F85" s="299">
        <f>'Entrada Prod (diario)'!$E$665</f>
        <v>0</v>
      </c>
      <c r="G85" s="39"/>
      <c r="H85" s="39"/>
      <c r="I85" s="211">
        <f>'Entrada Prod (diario)'!$F$665</f>
        <v>0</v>
      </c>
      <c r="J85" s="211">
        <f>'Entrada Prod (diario)'!$G$665</f>
        <v>0</v>
      </c>
      <c r="K85" s="299">
        <f>'Entrada Prod (diario)'!$H$665</f>
        <v>0</v>
      </c>
      <c r="L85" s="330"/>
      <c r="M85" s="299">
        <f>'Entrada Prod (diario)'!$I$665</f>
        <v>0</v>
      </c>
      <c r="N85" s="330"/>
      <c r="O85" s="231">
        <f>'Entrada Prod (diario)'!$J$665</f>
        <v>0</v>
      </c>
      <c r="P85" s="174"/>
      <c r="Q85" s="47">
        <v>679</v>
      </c>
      <c r="R85" s="9"/>
      <c r="S85" s="126"/>
      <c r="T85" s="12"/>
      <c r="U85" s="12"/>
    </row>
    <row r="86" spans="1:21" x14ac:dyDescent="0.25">
      <c r="A86" s="229">
        <f>IF(Info!$J$29&gt;0,A85+7, )</f>
        <v>0</v>
      </c>
      <c r="B86" s="335">
        <v>98</v>
      </c>
      <c r="C86" s="231">
        <f>'Entrada Prod (diario)'!$C$673</f>
        <v>0</v>
      </c>
      <c r="D86" s="39"/>
      <c r="E86" s="299">
        <f>'Entrada Prod (diario)'!$D$673</f>
        <v>0</v>
      </c>
      <c r="F86" s="299">
        <f>'Entrada Prod (diario)'!$E$673</f>
        <v>0</v>
      </c>
      <c r="G86" s="39"/>
      <c r="H86" s="39"/>
      <c r="I86" s="211">
        <f>'Entrada Prod (diario)'!$F$673</f>
        <v>0</v>
      </c>
      <c r="J86" s="211">
        <f>'Entrada Prod (diario)'!$G$673</f>
        <v>0</v>
      </c>
      <c r="K86" s="299">
        <f>'Entrada Prod (diario)'!$H$673</f>
        <v>0</v>
      </c>
      <c r="L86" s="330"/>
      <c r="M86" s="299">
        <f>'Entrada Prod (diario)'!$I$673</f>
        <v>0</v>
      </c>
      <c r="N86" s="330"/>
      <c r="O86" s="231">
        <f>'Entrada Prod (diario)'!$J$673</f>
        <v>0</v>
      </c>
      <c r="P86" s="174"/>
      <c r="Q86" s="47">
        <v>686</v>
      </c>
      <c r="R86" s="9"/>
      <c r="S86" s="126"/>
      <c r="T86" s="12"/>
      <c r="U86" s="12"/>
    </row>
    <row r="87" spans="1:21" x14ac:dyDescent="0.25">
      <c r="A87" s="229">
        <f>IF(Info!$J$29&gt;0,A86+7, )</f>
        <v>0</v>
      </c>
      <c r="B87" s="335">
        <v>99</v>
      </c>
      <c r="C87" s="231">
        <f>'Entrada Prod (diario)'!$C$681</f>
        <v>0</v>
      </c>
      <c r="D87" s="39"/>
      <c r="E87" s="299">
        <f>'Entrada Prod (diario)'!$D$681</f>
        <v>0</v>
      </c>
      <c r="F87" s="299">
        <f>'Entrada Prod (diario)'!$E$681</f>
        <v>0</v>
      </c>
      <c r="G87" s="39"/>
      <c r="H87" s="39"/>
      <c r="I87" s="211">
        <f>'Entrada Prod (diario)'!$F$681</f>
        <v>0</v>
      </c>
      <c r="J87" s="211">
        <f>'Entrada Prod (diario)'!$G$681</f>
        <v>0</v>
      </c>
      <c r="K87" s="299">
        <f>'Entrada Prod (diario)'!$H$681</f>
        <v>0</v>
      </c>
      <c r="L87" s="330"/>
      <c r="M87" s="299">
        <f>'Entrada Prod (diario)'!$I$681</f>
        <v>0</v>
      </c>
      <c r="N87" s="330"/>
      <c r="O87" s="231">
        <f>'Entrada Prod (diario)'!$J$681</f>
        <v>0</v>
      </c>
      <c r="P87" s="174"/>
      <c r="Q87" s="47">
        <v>693</v>
      </c>
      <c r="R87" s="9"/>
      <c r="S87" s="126"/>
      <c r="T87" s="12"/>
      <c r="U87" s="12"/>
    </row>
    <row r="88" spans="1:21" x14ac:dyDescent="0.25">
      <c r="A88" s="229">
        <f>IF(Info!$J$29&gt;0,A87+7, )</f>
        <v>0</v>
      </c>
      <c r="B88" s="335">
        <v>100</v>
      </c>
      <c r="C88" s="231">
        <f>'Entrada Prod (diario)'!$C$689</f>
        <v>0</v>
      </c>
      <c r="D88" s="39"/>
      <c r="E88" s="299">
        <f>'Entrada Prod (diario)'!$D$689</f>
        <v>0</v>
      </c>
      <c r="F88" s="299">
        <f>'Entrada Prod (diario)'!$E$689</f>
        <v>0</v>
      </c>
      <c r="G88" s="39"/>
      <c r="H88" s="39"/>
      <c r="I88" s="211">
        <f>'Entrada Prod (diario)'!$F$689</f>
        <v>0</v>
      </c>
      <c r="J88" s="211">
        <f>'Entrada Prod (diario)'!$G$689</f>
        <v>0</v>
      </c>
      <c r="K88" s="299">
        <f>'Entrada Prod (diario)'!$H$689</f>
        <v>0</v>
      </c>
      <c r="L88" s="330"/>
      <c r="M88" s="299">
        <f>'Entrada Prod (diario)'!$I$689</f>
        <v>0</v>
      </c>
      <c r="N88" s="330"/>
      <c r="O88" s="231">
        <f>'Entrada Prod (diario)'!$J$689</f>
        <v>0</v>
      </c>
      <c r="P88" s="174"/>
      <c r="Q88" s="47">
        <v>700</v>
      </c>
      <c r="R88" s="9"/>
      <c r="S88" s="126"/>
      <c r="T88" s="12"/>
      <c r="U88" s="12"/>
    </row>
    <row r="89" spans="1:21" x14ac:dyDescent="0.25">
      <c r="A89" s="229">
        <f>IF(Info!$J$29&gt;0,A88+7, )</f>
        <v>0</v>
      </c>
      <c r="B89" s="335">
        <v>101</v>
      </c>
      <c r="C89" s="231">
        <f>'Entrada Prod (diario)'!$C$697</f>
        <v>0</v>
      </c>
      <c r="D89" s="39"/>
      <c r="E89" s="299">
        <f>'Entrada Prod (diario)'!$D$697</f>
        <v>0</v>
      </c>
      <c r="F89" s="299">
        <f>'Entrada Prod (diario)'!$E$697</f>
        <v>0</v>
      </c>
      <c r="G89" s="39"/>
      <c r="H89" s="39"/>
      <c r="I89" s="211">
        <f>'Entrada Prod (diario)'!$F$697</f>
        <v>0</v>
      </c>
      <c r="J89" s="211">
        <f>'Entrada Prod (diario)'!$G$697</f>
        <v>0</v>
      </c>
      <c r="K89" s="299">
        <f>'Entrada Prod (diario)'!$H$697</f>
        <v>0</v>
      </c>
      <c r="L89" s="330"/>
      <c r="M89" s="299">
        <f>'Entrada Prod (diario)'!$I$697</f>
        <v>0</v>
      </c>
      <c r="N89" s="330"/>
      <c r="O89" s="231">
        <f>'Entrada Prod (diario)'!$J$697</f>
        <v>0</v>
      </c>
      <c r="P89" s="174"/>
      <c r="Q89" s="47">
        <v>707</v>
      </c>
      <c r="R89" s="12"/>
      <c r="S89" s="126"/>
      <c r="T89" s="12"/>
      <c r="U89" s="12"/>
    </row>
    <row r="90" spans="1:21" x14ac:dyDescent="0.25">
      <c r="A90" s="229">
        <f>IF(Info!$J$29&gt;0,A89+7, )</f>
        <v>0</v>
      </c>
      <c r="B90" s="335">
        <v>102</v>
      </c>
      <c r="C90" s="231">
        <f>'Entrada Prod (diario)'!$C$705</f>
        <v>0</v>
      </c>
      <c r="D90" s="39"/>
      <c r="E90" s="299">
        <f>'Entrada Prod (diario)'!$D$705</f>
        <v>0</v>
      </c>
      <c r="F90" s="299">
        <f>'Entrada Prod (diario)'!$E$705</f>
        <v>0</v>
      </c>
      <c r="G90" s="39"/>
      <c r="H90" s="39"/>
      <c r="I90" s="211">
        <f>'Entrada Prod (diario)'!$F$705</f>
        <v>0</v>
      </c>
      <c r="J90" s="211">
        <f>'Entrada Prod (diario)'!$G$705</f>
        <v>0</v>
      </c>
      <c r="K90" s="299">
        <f>'Entrada Prod (diario)'!$H$705</f>
        <v>0</v>
      </c>
      <c r="L90" s="330"/>
      <c r="M90" s="299">
        <f>'Entrada Prod (diario)'!$I$705</f>
        <v>0</v>
      </c>
      <c r="N90" s="330"/>
      <c r="O90" s="231">
        <f>'Entrada Prod (diario)'!$J$705</f>
        <v>0</v>
      </c>
      <c r="P90" s="174"/>
      <c r="Q90" s="47">
        <v>714</v>
      </c>
      <c r="R90" s="12"/>
      <c r="S90" s="126"/>
      <c r="T90" s="12"/>
      <c r="U90" s="12"/>
    </row>
    <row r="91" spans="1:21" x14ac:dyDescent="0.25">
      <c r="A91" s="229">
        <f>IF(Info!$J$29&gt;0,A90+7, )</f>
        <v>0</v>
      </c>
      <c r="B91" s="335">
        <v>103</v>
      </c>
      <c r="C91" s="231">
        <f>'Entrada Prod (diario)'!$C$713</f>
        <v>0</v>
      </c>
      <c r="D91" s="39"/>
      <c r="E91" s="299">
        <f>'Entrada Prod (diario)'!$D$713</f>
        <v>0</v>
      </c>
      <c r="F91" s="299">
        <f>'Entrada Prod (diario)'!$E$713</f>
        <v>0</v>
      </c>
      <c r="G91" s="39"/>
      <c r="H91" s="39"/>
      <c r="I91" s="211">
        <f>'Entrada Prod (diario)'!$F$713</f>
        <v>0</v>
      </c>
      <c r="J91" s="211">
        <f>'Entrada Prod (diario)'!$G$713</f>
        <v>0</v>
      </c>
      <c r="K91" s="299">
        <f>'Entrada Prod (diario)'!$H$713</f>
        <v>0</v>
      </c>
      <c r="L91" s="330"/>
      <c r="M91" s="299">
        <f>'Entrada Prod (diario)'!$I$713</f>
        <v>0</v>
      </c>
      <c r="N91" s="330"/>
      <c r="O91" s="231">
        <f>'Entrada Prod (diario)'!$J$713</f>
        <v>0</v>
      </c>
      <c r="P91" s="174"/>
      <c r="Q91" s="47">
        <v>721</v>
      </c>
      <c r="R91" s="12"/>
      <c r="S91" s="126"/>
      <c r="T91" s="12"/>
      <c r="U91" s="12"/>
    </row>
    <row r="92" spans="1:21" x14ac:dyDescent="0.25">
      <c r="A92" s="229">
        <f>IF(Info!$J$29&gt;0,A91+7, )</f>
        <v>0</v>
      </c>
      <c r="B92" s="335">
        <v>104</v>
      </c>
      <c r="C92" s="231">
        <f>'Entrada Prod (diario)'!$C$721</f>
        <v>0</v>
      </c>
      <c r="D92" s="39"/>
      <c r="E92" s="299">
        <f>'Entrada Prod (diario)'!$D$721</f>
        <v>0</v>
      </c>
      <c r="F92" s="299">
        <f>'Entrada Prod (diario)'!$E$721</f>
        <v>0</v>
      </c>
      <c r="G92" s="39"/>
      <c r="H92" s="39"/>
      <c r="I92" s="211">
        <f>'Entrada Prod (diario)'!$F$721</f>
        <v>0</v>
      </c>
      <c r="J92" s="211">
        <f>'Entrada Prod (diario)'!$G$721</f>
        <v>0</v>
      </c>
      <c r="K92" s="299">
        <f>'Entrada Prod (diario)'!$H$721</f>
        <v>0</v>
      </c>
      <c r="L92" s="330"/>
      <c r="M92" s="299">
        <f>'Entrada Prod (diario)'!$I$721</f>
        <v>0</v>
      </c>
      <c r="N92" s="330"/>
      <c r="O92" s="231">
        <f>'Entrada Prod (diario)'!$J$721</f>
        <v>0</v>
      </c>
      <c r="P92" s="174"/>
      <c r="Q92" s="47">
        <v>728</v>
      </c>
      <c r="R92" s="12"/>
      <c r="S92" s="126"/>
      <c r="T92" s="12"/>
      <c r="U92" s="12"/>
    </row>
    <row r="93" spans="1:21" x14ac:dyDescent="0.25">
      <c r="A93" s="229">
        <f>IF(Info!$J$29&gt;0,A92+7, )</f>
        <v>0</v>
      </c>
      <c r="B93" s="335">
        <v>105</v>
      </c>
      <c r="C93" s="231">
        <f>'Entrada Prod (diario)'!$C$729</f>
        <v>0</v>
      </c>
      <c r="D93" s="39"/>
      <c r="E93" s="299">
        <f>'Entrada Prod (diario)'!$D$729</f>
        <v>0</v>
      </c>
      <c r="F93" s="299">
        <f>'Entrada Prod (diario)'!$E$729</f>
        <v>0</v>
      </c>
      <c r="G93" s="39"/>
      <c r="H93" s="39"/>
      <c r="I93" s="211">
        <f>'Entrada Prod (diario)'!$F$729</f>
        <v>0</v>
      </c>
      <c r="J93" s="211">
        <f>'Entrada Prod (diario)'!$G$729</f>
        <v>0</v>
      </c>
      <c r="K93" s="299">
        <f>'Entrada Prod (diario)'!$H$729</f>
        <v>0</v>
      </c>
      <c r="L93" s="330"/>
      <c r="M93" s="299">
        <f>'Entrada Prod (diario)'!$I$729</f>
        <v>0</v>
      </c>
      <c r="N93" s="330"/>
      <c r="O93" s="231">
        <f>'Entrada Prod (diario)'!$J$729</f>
        <v>0</v>
      </c>
      <c r="P93" s="174"/>
      <c r="Q93" s="47">
        <v>735</v>
      </c>
      <c r="R93" s="12"/>
      <c r="S93" s="126"/>
      <c r="T93" s="12"/>
      <c r="U93" s="12"/>
    </row>
    <row r="94" spans="1:21" x14ac:dyDescent="0.25">
      <c r="A94" s="229">
        <f>IF(Info!$J$29&gt;0,A93+7, )</f>
        <v>0</v>
      </c>
      <c r="B94" s="335">
        <v>106</v>
      </c>
      <c r="C94" s="231">
        <f>'Entrada Prod (diario)'!$C$737</f>
        <v>0</v>
      </c>
      <c r="D94" s="39"/>
      <c r="E94" s="299">
        <f>'Entrada Prod (diario)'!$D$737</f>
        <v>0</v>
      </c>
      <c r="F94" s="299">
        <f>'Entrada Prod (diario)'!$E$737</f>
        <v>0</v>
      </c>
      <c r="G94" s="39"/>
      <c r="H94" s="39"/>
      <c r="I94" s="211">
        <f>'Entrada Prod (diario)'!$F$737</f>
        <v>0</v>
      </c>
      <c r="J94" s="211">
        <f>'Entrada Prod (diario)'!$G$737</f>
        <v>0</v>
      </c>
      <c r="K94" s="299">
        <f>'Entrada Prod (diario)'!$H$737</f>
        <v>0</v>
      </c>
      <c r="L94" s="330"/>
      <c r="M94" s="299">
        <f>'Entrada Prod (diario)'!$I$737</f>
        <v>0</v>
      </c>
      <c r="N94" s="330"/>
      <c r="O94" s="231">
        <f>'Entrada Prod (diario)'!$J$737</f>
        <v>0</v>
      </c>
      <c r="P94" s="174"/>
      <c r="Q94" s="47">
        <v>742</v>
      </c>
      <c r="R94" s="12"/>
      <c r="S94" s="126"/>
      <c r="T94" s="12"/>
      <c r="U94" s="12"/>
    </row>
    <row r="95" spans="1:21" x14ac:dyDescent="0.25">
      <c r="A95" s="229">
        <f>IF(Info!$J$29&gt;0,A94+7, )</f>
        <v>0</v>
      </c>
      <c r="B95" s="335">
        <v>107</v>
      </c>
      <c r="C95" s="231">
        <f>'Entrada Prod (diario)'!$C$745</f>
        <v>0</v>
      </c>
      <c r="D95" s="39"/>
      <c r="E95" s="299">
        <f>'Entrada Prod (diario)'!$D$745</f>
        <v>0</v>
      </c>
      <c r="F95" s="299">
        <f>'Entrada Prod (diario)'!$E$745</f>
        <v>0</v>
      </c>
      <c r="G95" s="39"/>
      <c r="H95" s="39"/>
      <c r="I95" s="211">
        <f>'Entrada Prod (diario)'!$F$745</f>
        <v>0</v>
      </c>
      <c r="J95" s="211">
        <f>'Entrada Prod (diario)'!$G$745</f>
        <v>0</v>
      </c>
      <c r="K95" s="299">
        <f>'Entrada Prod (diario)'!$H$745</f>
        <v>0</v>
      </c>
      <c r="L95" s="330"/>
      <c r="M95" s="299">
        <f>'Entrada Prod (diario)'!$I$745</f>
        <v>0</v>
      </c>
      <c r="N95" s="330"/>
      <c r="O95" s="231">
        <f>'Entrada Prod (diario)'!$J$745</f>
        <v>0</v>
      </c>
      <c r="P95" s="174"/>
      <c r="Q95" s="47">
        <v>749</v>
      </c>
      <c r="R95" s="12"/>
      <c r="S95" s="126"/>
      <c r="T95" s="12"/>
      <c r="U95" s="12"/>
    </row>
    <row r="96" spans="1:21" x14ac:dyDescent="0.25">
      <c r="A96" s="229">
        <f>IF(Info!$J$29&gt;0,A95+7, )</f>
        <v>0</v>
      </c>
      <c r="B96" s="335">
        <v>108</v>
      </c>
      <c r="C96" s="231">
        <f>'Entrada Prod (diario)'!$C$753</f>
        <v>0</v>
      </c>
      <c r="D96" s="39"/>
      <c r="E96" s="299">
        <f>'Entrada Prod (diario)'!$D$753</f>
        <v>0</v>
      </c>
      <c r="F96" s="299">
        <f>'Entrada Prod (diario)'!$E$753</f>
        <v>0</v>
      </c>
      <c r="G96" s="39"/>
      <c r="H96" s="39"/>
      <c r="I96" s="211">
        <f>'Entrada Prod (diario)'!$F$753</f>
        <v>0</v>
      </c>
      <c r="J96" s="211">
        <f>'Entrada Prod (diario)'!$G$753</f>
        <v>0</v>
      </c>
      <c r="K96" s="299">
        <f>'Entrada Prod (diario)'!$H$753</f>
        <v>0</v>
      </c>
      <c r="L96" s="330"/>
      <c r="M96" s="299">
        <f>'Entrada Prod (diario)'!$I$753</f>
        <v>0</v>
      </c>
      <c r="N96" s="330"/>
      <c r="O96" s="231">
        <f>'Entrada Prod (diario)'!$J$753</f>
        <v>0</v>
      </c>
      <c r="P96" s="174"/>
      <c r="Q96" s="47">
        <v>756</v>
      </c>
      <c r="R96" s="12"/>
      <c r="S96" s="126"/>
      <c r="T96" s="12"/>
      <c r="U96" s="12"/>
    </row>
    <row r="97" spans="1:21" x14ac:dyDescent="0.25">
      <c r="A97" s="229">
        <f>IF(Info!$J$29&gt;0,A96+7, )</f>
        <v>0</v>
      </c>
      <c r="B97" s="335">
        <v>109</v>
      </c>
      <c r="C97" s="231">
        <f>'Entrada Prod (diario)'!$C$761</f>
        <v>0</v>
      </c>
      <c r="D97" s="39"/>
      <c r="E97" s="299">
        <f>'Entrada Prod (diario)'!$D$761</f>
        <v>0</v>
      </c>
      <c r="F97" s="299">
        <f>'Entrada Prod (diario)'!$E$761</f>
        <v>0</v>
      </c>
      <c r="G97" s="39"/>
      <c r="H97" s="39"/>
      <c r="I97" s="211">
        <f>'Entrada Prod (diario)'!$F$761</f>
        <v>0</v>
      </c>
      <c r="J97" s="211">
        <f>'Entrada Prod (diario)'!$G$761</f>
        <v>0</v>
      </c>
      <c r="K97" s="299">
        <f>'Entrada Prod (diario)'!$H$761</f>
        <v>0</v>
      </c>
      <c r="L97" s="330"/>
      <c r="M97" s="299">
        <f>'Entrada Prod (diario)'!$I$761</f>
        <v>0</v>
      </c>
      <c r="N97" s="330"/>
      <c r="O97" s="231">
        <f>'Entrada Prod (diario)'!$J$761</f>
        <v>0</v>
      </c>
      <c r="P97" s="174"/>
      <c r="Q97" s="47">
        <v>763</v>
      </c>
      <c r="R97" s="12"/>
      <c r="S97" s="126"/>
      <c r="T97" s="12"/>
      <c r="U97" s="12"/>
    </row>
    <row r="98" spans="1:21" x14ac:dyDescent="0.25">
      <c r="A98" s="229">
        <f>IF(Info!$J$29&gt;0,A97+7, )</f>
        <v>0</v>
      </c>
      <c r="B98" s="335">
        <v>110</v>
      </c>
      <c r="C98" s="231">
        <f>'Entrada Prod (diario)'!$C$769</f>
        <v>0</v>
      </c>
      <c r="D98" s="39"/>
      <c r="E98" s="299">
        <f>'Entrada Prod (diario)'!$D$769</f>
        <v>0</v>
      </c>
      <c r="F98" s="299">
        <f>'Entrada Prod (diario)'!$E$769</f>
        <v>0</v>
      </c>
      <c r="G98" s="39"/>
      <c r="H98" s="39"/>
      <c r="I98" s="211">
        <f>'Entrada Prod (diario)'!$F$769</f>
        <v>0</v>
      </c>
      <c r="J98" s="211">
        <f>'Entrada Prod (diario)'!$G$769</f>
        <v>0</v>
      </c>
      <c r="K98" s="299">
        <f>'Entrada Prod (diario)'!$H$769</f>
        <v>0</v>
      </c>
      <c r="L98" s="330"/>
      <c r="M98" s="299">
        <f>'Entrada Prod (diario)'!$I$769</f>
        <v>0</v>
      </c>
      <c r="N98" s="330"/>
      <c r="O98" s="231">
        <f>'Entrada Prod (diario)'!$J$769</f>
        <v>0</v>
      </c>
      <c r="P98" s="174"/>
      <c r="Q98" s="47">
        <v>770</v>
      </c>
      <c r="R98" s="12"/>
      <c r="S98" s="126"/>
      <c r="T98" s="12"/>
      <c r="U98" s="12"/>
    </row>
    <row r="99" spans="1:21" x14ac:dyDescent="0.25">
      <c r="A99" s="229">
        <f>IF(Info!$J$29&gt;0,A98+7, )</f>
        <v>0</v>
      </c>
      <c r="B99" s="335">
        <v>111</v>
      </c>
      <c r="C99" s="231">
        <f>'Entrada Prod (diario)'!$C$777</f>
        <v>0</v>
      </c>
      <c r="D99" s="39"/>
      <c r="E99" s="299">
        <f>'Entrada Prod (diario)'!$D$777</f>
        <v>0</v>
      </c>
      <c r="F99" s="299">
        <f>'Entrada Prod (diario)'!$E$777</f>
        <v>0</v>
      </c>
      <c r="G99" s="39"/>
      <c r="H99" s="39"/>
      <c r="I99" s="211">
        <f>'Entrada Prod (diario)'!$F$777</f>
        <v>0</v>
      </c>
      <c r="J99" s="211">
        <f>'Entrada Prod (diario)'!$G$777</f>
        <v>0</v>
      </c>
      <c r="K99" s="299">
        <f>'Entrada Prod (diario)'!$H$777</f>
        <v>0</v>
      </c>
      <c r="L99" s="330"/>
      <c r="M99" s="299">
        <f>'Entrada Prod (diario)'!$I$777</f>
        <v>0</v>
      </c>
      <c r="N99" s="330"/>
      <c r="O99" s="231">
        <f>'Entrada Prod (diario)'!$J$777</f>
        <v>0</v>
      </c>
      <c r="P99" s="174"/>
      <c r="Q99" s="47">
        <v>777</v>
      </c>
      <c r="R99" s="12"/>
      <c r="S99" s="126"/>
      <c r="T99" s="12"/>
      <c r="U99" s="12"/>
    </row>
    <row r="100" spans="1:21" x14ac:dyDescent="0.25">
      <c r="A100" s="229">
        <f>IF(Info!$J$29&gt;0,A99+7, )</f>
        <v>0</v>
      </c>
      <c r="B100" s="335">
        <v>112</v>
      </c>
      <c r="C100" s="231">
        <f>'Entrada Prod (diario)'!$C$785</f>
        <v>0</v>
      </c>
      <c r="D100" s="39"/>
      <c r="E100" s="299">
        <f>'Entrada Prod (diario)'!$D$785</f>
        <v>0</v>
      </c>
      <c r="F100" s="299">
        <f>'Entrada Prod (diario)'!$E$785</f>
        <v>0</v>
      </c>
      <c r="G100" s="39"/>
      <c r="H100" s="39"/>
      <c r="I100" s="211">
        <f>'Entrada Prod (diario)'!$F$785</f>
        <v>0</v>
      </c>
      <c r="J100" s="211">
        <f>'Entrada Prod (diario)'!$G$785</f>
        <v>0</v>
      </c>
      <c r="K100" s="299">
        <f>'Entrada Prod (diario)'!$H$785</f>
        <v>0</v>
      </c>
      <c r="L100" s="330"/>
      <c r="M100" s="299">
        <f>'Entrada Prod (diario)'!$I$785</f>
        <v>0</v>
      </c>
      <c r="N100" s="330"/>
      <c r="O100" s="231">
        <f>'Entrada Prod (diario)'!$J$785</f>
        <v>0</v>
      </c>
      <c r="P100" s="174"/>
      <c r="Q100" s="47">
        <v>784</v>
      </c>
      <c r="R100" s="1"/>
      <c r="S100" s="127"/>
      <c r="T100" s="1"/>
      <c r="U100" s="1"/>
    </row>
    <row r="101" spans="1:21" x14ac:dyDescent="0.25">
      <c r="A101" s="229">
        <f>IF(Info!$J$29&gt;0,A100+7, )</f>
        <v>0</v>
      </c>
      <c r="B101" s="335">
        <v>113</v>
      </c>
      <c r="C101" s="231">
        <f>'Entrada Prod (diario)'!$C$793</f>
        <v>0</v>
      </c>
      <c r="D101" s="39"/>
      <c r="E101" s="299">
        <f>'Entrada Prod (diario)'!$D$793</f>
        <v>0</v>
      </c>
      <c r="F101" s="299">
        <f>'Entrada Prod (diario)'!$E$793</f>
        <v>0</v>
      </c>
      <c r="G101" s="39"/>
      <c r="H101" s="39"/>
      <c r="I101" s="211">
        <f>'Entrada Prod (diario)'!$F$793</f>
        <v>0</v>
      </c>
      <c r="J101" s="211">
        <f>'Entrada Prod (diario)'!$G$793</f>
        <v>0</v>
      </c>
      <c r="K101" s="299">
        <f>'Entrada Prod (diario)'!$H$793</f>
        <v>0</v>
      </c>
      <c r="L101" s="330"/>
      <c r="M101" s="299">
        <f>'Entrada Prod (diario)'!$I$793</f>
        <v>0</v>
      </c>
      <c r="N101" s="330"/>
      <c r="O101" s="231">
        <f>'Entrada Prod (diario)'!$J$793</f>
        <v>0</v>
      </c>
      <c r="P101" s="174"/>
      <c r="Q101" s="47">
        <v>791</v>
      </c>
      <c r="R101" s="1"/>
      <c r="S101" s="127"/>
      <c r="T101" s="1"/>
      <c r="U101" s="1"/>
    </row>
    <row r="102" spans="1:21" x14ac:dyDescent="0.25">
      <c r="A102" s="229">
        <f>IF(Info!$J$29&gt;0,A101+7, )</f>
        <v>0</v>
      </c>
      <c r="B102" s="335">
        <v>114</v>
      </c>
      <c r="C102" s="231">
        <f>'Entrada Prod (diario)'!$C$801</f>
        <v>0</v>
      </c>
      <c r="D102" s="39"/>
      <c r="E102" s="299">
        <f>'Entrada Prod (diario)'!$D$801</f>
        <v>0</v>
      </c>
      <c r="F102" s="299">
        <f>'Entrada Prod (diario)'!$E$801</f>
        <v>0</v>
      </c>
      <c r="G102" s="39"/>
      <c r="H102" s="39"/>
      <c r="I102" s="211">
        <f>'Entrada Prod (diario)'!$F$801</f>
        <v>0</v>
      </c>
      <c r="J102" s="211">
        <f>'Entrada Prod (diario)'!$G$801</f>
        <v>0</v>
      </c>
      <c r="K102" s="299">
        <f>'Entrada Prod (diario)'!$H$801</f>
        <v>0</v>
      </c>
      <c r="L102" s="330"/>
      <c r="M102" s="299">
        <f>'Entrada Prod (diario)'!$I$801</f>
        <v>0</v>
      </c>
      <c r="N102" s="330"/>
      <c r="O102" s="231">
        <f>'Entrada Prod (diario)'!$J$801</f>
        <v>0</v>
      </c>
      <c r="P102" s="174"/>
      <c r="Q102" s="47">
        <v>798</v>
      </c>
      <c r="R102" s="1"/>
      <c r="S102" s="127"/>
      <c r="T102" s="1"/>
      <c r="U102" s="1"/>
    </row>
    <row r="103" spans="1:21" x14ac:dyDescent="0.25">
      <c r="A103" s="229">
        <f>IF(Info!$J$29&gt;0,A102+7, )</f>
        <v>0</v>
      </c>
      <c r="B103" s="335">
        <v>115</v>
      </c>
      <c r="C103" s="231">
        <f>'Entrada Prod (diario)'!$C$809</f>
        <v>0</v>
      </c>
      <c r="D103" s="39"/>
      <c r="E103" s="299">
        <f>'Entrada Prod (diario)'!$D$809</f>
        <v>0</v>
      </c>
      <c r="F103" s="299">
        <f>'Entrada Prod (diario)'!$E$809</f>
        <v>0</v>
      </c>
      <c r="G103" s="39"/>
      <c r="H103" s="39"/>
      <c r="I103" s="211">
        <f>'Entrada Prod (diario)'!$F$809</f>
        <v>0</v>
      </c>
      <c r="J103" s="211">
        <f>'Entrada Prod (diario)'!$G$809</f>
        <v>0</v>
      </c>
      <c r="K103" s="299">
        <f>'Entrada Prod (diario)'!$H$809</f>
        <v>0</v>
      </c>
      <c r="L103" s="330"/>
      <c r="M103" s="299">
        <f>'Entrada Prod (diario)'!$I$809</f>
        <v>0</v>
      </c>
      <c r="N103" s="330"/>
      <c r="O103" s="231">
        <f>'Entrada Prod (diario)'!$J$809</f>
        <v>0</v>
      </c>
      <c r="P103" s="174"/>
      <c r="Q103" s="47">
        <v>805</v>
      </c>
      <c r="R103" s="1"/>
      <c r="S103" s="127"/>
      <c r="T103" s="1"/>
      <c r="U103" s="1"/>
    </row>
    <row r="104" spans="1:21" x14ac:dyDescent="0.25">
      <c r="A104" s="229">
        <f>IF(Info!$J$29&gt;0,A103+7, )</f>
        <v>0</v>
      </c>
      <c r="B104" s="335">
        <v>116</v>
      </c>
      <c r="C104" s="231">
        <f>'Entrada Prod (diario)'!$C$817</f>
        <v>0</v>
      </c>
      <c r="D104" s="39"/>
      <c r="E104" s="299">
        <f>'Entrada Prod (diario)'!$D$817</f>
        <v>0</v>
      </c>
      <c r="F104" s="299">
        <f>'Entrada Prod (diario)'!$E$817</f>
        <v>0</v>
      </c>
      <c r="G104" s="39"/>
      <c r="H104" s="39"/>
      <c r="I104" s="211">
        <f>'Entrada Prod (diario)'!$F$817</f>
        <v>0</v>
      </c>
      <c r="J104" s="211">
        <f>'Entrada Prod (diario)'!$G$817</f>
        <v>0</v>
      </c>
      <c r="K104" s="299">
        <f>'Entrada Prod (diario)'!$H$817</f>
        <v>0</v>
      </c>
      <c r="L104" s="330"/>
      <c r="M104" s="299">
        <f>'Entrada Prod (diario)'!$I$817</f>
        <v>0</v>
      </c>
      <c r="N104" s="330"/>
      <c r="O104" s="231">
        <f>'Entrada Prod (diario)'!$J$817</f>
        <v>0</v>
      </c>
      <c r="P104" s="174"/>
      <c r="Q104" s="47">
        <v>812</v>
      </c>
      <c r="R104" s="1"/>
      <c r="S104" s="127"/>
      <c r="T104" s="1"/>
      <c r="U104" s="1"/>
    </row>
    <row r="105" spans="1:21" x14ac:dyDescent="0.25">
      <c r="A105" s="229">
        <f>IF(Info!$J$29&gt;0,A104+7, )</f>
        <v>0</v>
      </c>
      <c r="B105" s="335">
        <v>117</v>
      </c>
      <c r="C105" s="231">
        <f>'Entrada Prod (diario)'!$C$825</f>
        <v>0</v>
      </c>
      <c r="D105" s="39"/>
      <c r="E105" s="299">
        <f>'Entrada Prod (diario)'!$D$825</f>
        <v>0</v>
      </c>
      <c r="F105" s="299">
        <f>'Entrada Prod (diario)'!$E$825</f>
        <v>0</v>
      </c>
      <c r="G105" s="39"/>
      <c r="H105" s="39"/>
      <c r="I105" s="211">
        <f>'Entrada Prod (diario)'!$F$825</f>
        <v>0</v>
      </c>
      <c r="J105" s="211">
        <f>'Entrada Prod (diario)'!$G$825</f>
        <v>0</v>
      </c>
      <c r="K105" s="299">
        <f>'Entrada Prod (diario)'!$H$825</f>
        <v>0</v>
      </c>
      <c r="L105" s="330"/>
      <c r="M105" s="299">
        <f>'Entrada Prod (diario)'!$I$825</f>
        <v>0</v>
      </c>
      <c r="N105" s="330"/>
      <c r="O105" s="231">
        <f>'Entrada Prod (diario)'!$J$825</f>
        <v>0</v>
      </c>
      <c r="P105" s="174"/>
      <c r="Q105" s="47">
        <v>819</v>
      </c>
      <c r="R105" s="1"/>
      <c r="S105" s="127"/>
      <c r="T105" s="1"/>
      <c r="U105" s="1"/>
    </row>
    <row r="106" spans="1:21" x14ac:dyDescent="0.25">
      <c r="A106" s="229">
        <f>IF(Info!$J$29&gt;0,A105+7, )</f>
        <v>0</v>
      </c>
      <c r="B106" s="335">
        <v>118</v>
      </c>
      <c r="C106" s="231">
        <f>'Entrada Prod (diario)'!$C$833</f>
        <v>0</v>
      </c>
      <c r="D106" s="39"/>
      <c r="E106" s="299">
        <f>'Entrada Prod (diario)'!$D$833</f>
        <v>0</v>
      </c>
      <c r="F106" s="299">
        <f>'Entrada Prod (diario)'!$E$833</f>
        <v>0</v>
      </c>
      <c r="G106" s="39"/>
      <c r="H106" s="39"/>
      <c r="I106" s="211">
        <f>'Entrada Prod (diario)'!$F$833</f>
        <v>0</v>
      </c>
      <c r="J106" s="211">
        <f>'Entrada Prod (diario)'!$G$833</f>
        <v>0</v>
      </c>
      <c r="K106" s="299">
        <f>'Entrada Prod (diario)'!$H$833</f>
        <v>0</v>
      </c>
      <c r="L106" s="330"/>
      <c r="M106" s="299">
        <f>'Entrada Prod (diario)'!$I$833</f>
        <v>0</v>
      </c>
      <c r="N106" s="330"/>
      <c r="O106" s="231">
        <f>'Entrada Prod (diario)'!$J$833</f>
        <v>0</v>
      </c>
      <c r="P106" s="174"/>
      <c r="Q106" s="47">
        <v>826</v>
      </c>
      <c r="R106" s="1"/>
      <c r="S106" s="127"/>
      <c r="T106" s="1"/>
      <c r="U106" s="1"/>
    </row>
    <row r="107" spans="1:21" x14ac:dyDescent="0.25">
      <c r="A107" s="229">
        <f>IF(Info!$J$29&gt;0,A106+7, )</f>
        <v>0</v>
      </c>
      <c r="B107" s="335">
        <v>119</v>
      </c>
      <c r="C107" s="231">
        <f>'Entrada Prod (diario)'!$C$841</f>
        <v>0</v>
      </c>
      <c r="D107" s="39"/>
      <c r="E107" s="299">
        <f>'Entrada Prod (diario)'!$D$841</f>
        <v>0</v>
      </c>
      <c r="F107" s="299">
        <f>'Entrada Prod (diario)'!$E$841</f>
        <v>0</v>
      </c>
      <c r="G107" s="39"/>
      <c r="H107" s="39"/>
      <c r="I107" s="211">
        <f>'Entrada Prod (diario)'!$F$841</f>
        <v>0</v>
      </c>
      <c r="J107" s="211">
        <f>'Entrada Prod (diario)'!$G$841</f>
        <v>0</v>
      </c>
      <c r="K107" s="299">
        <f>'Entrada Prod (diario)'!$H$841</f>
        <v>0</v>
      </c>
      <c r="L107" s="330"/>
      <c r="M107" s="299">
        <f>'Entrada Prod (diario)'!$I$841</f>
        <v>0</v>
      </c>
      <c r="N107" s="330"/>
      <c r="O107" s="231">
        <f>'Entrada Prod (diario)'!$J$841</f>
        <v>0</v>
      </c>
      <c r="P107" s="174"/>
      <c r="Q107" s="47">
        <v>833</v>
      </c>
      <c r="R107" s="1"/>
      <c r="S107" s="127"/>
      <c r="T107" s="1"/>
      <c r="U107" s="1"/>
    </row>
    <row r="108" spans="1:21" x14ac:dyDescent="0.25">
      <c r="A108" s="230">
        <f>IF(Info!$J$29&gt;0,A107+7, )</f>
        <v>0</v>
      </c>
      <c r="B108" s="336">
        <v>120</v>
      </c>
      <c r="C108" s="232">
        <f>'Entrada Prod (diario)'!$C$849</f>
        <v>0</v>
      </c>
      <c r="D108" s="40"/>
      <c r="E108" s="331">
        <f>'Entrada Prod (diario)'!$D$849</f>
        <v>0</v>
      </c>
      <c r="F108" s="331">
        <f>'Entrada Prod (diario)'!$E$849</f>
        <v>0</v>
      </c>
      <c r="G108" s="40"/>
      <c r="H108" s="40"/>
      <c r="I108" s="332">
        <f>'Entrada Prod (diario)'!$F$849</f>
        <v>0</v>
      </c>
      <c r="J108" s="332">
        <f>'Entrada Prod (diario)'!$G$849</f>
        <v>0</v>
      </c>
      <c r="K108" s="331">
        <f>'Entrada Prod (diario)'!$H$849</f>
        <v>0</v>
      </c>
      <c r="L108" s="333"/>
      <c r="M108" s="331">
        <f>'Entrada Prod (diario)'!$I$849</f>
        <v>0</v>
      </c>
      <c r="N108" s="333"/>
      <c r="O108" s="334">
        <f>'Entrada Prod (diario)'!$J$849</f>
        <v>0</v>
      </c>
      <c r="P108" s="175"/>
      <c r="Q108" s="47">
        <v>840</v>
      </c>
      <c r="R108" s="1"/>
      <c r="S108" s="127"/>
      <c r="T108" s="1"/>
      <c r="U108" s="1"/>
    </row>
    <row r="109" spans="1:21" x14ac:dyDescent="0.25">
      <c r="A109" s="324"/>
      <c r="B109" s="8"/>
      <c r="C109" s="9"/>
      <c r="D109" s="10"/>
      <c r="E109" s="10"/>
      <c r="F109" s="9"/>
      <c r="G109" s="11"/>
      <c r="H109" s="9"/>
      <c r="I109" s="9"/>
      <c r="J109" s="9"/>
      <c r="L109" s="127"/>
      <c r="M109" s="127"/>
      <c r="O109" s="1"/>
    </row>
    <row r="110" spans="1:21" x14ac:dyDescent="0.25">
      <c r="A110" s="324" t="str">
        <f>Traducción!B15</f>
        <v>Observaciones:</v>
      </c>
      <c r="B110" s="8"/>
      <c r="C110" s="9"/>
      <c r="D110" s="10"/>
      <c r="E110" s="10"/>
      <c r="F110" s="9"/>
      <c r="G110" s="11"/>
      <c r="H110" s="9"/>
      <c r="I110" s="9"/>
      <c r="J110" s="9"/>
      <c r="L110" s="127"/>
      <c r="M110" s="127"/>
      <c r="O110" s="1"/>
    </row>
    <row r="111" spans="1:21" x14ac:dyDescent="0.25">
      <c r="A111" s="324"/>
      <c r="B111" s="9"/>
      <c r="C111" s="10"/>
      <c r="D111" s="10"/>
      <c r="E111" s="9"/>
      <c r="F111" s="11"/>
      <c r="G111" s="9"/>
      <c r="H111" s="9"/>
      <c r="I111" s="9"/>
      <c r="L111" s="127"/>
      <c r="M111" s="127"/>
    </row>
    <row r="112" spans="1:21" x14ac:dyDescent="0.25">
      <c r="A112" s="324"/>
      <c r="B112" s="9"/>
      <c r="C112" s="10"/>
      <c r="D112" s="10"/>
      <c r="E112" s="9"/>
      <c r="F112" s="11"/>
      <c r="G112" s="9"/>
      <c r="H112" s="9"/>
      <c r="I112" s="9"/>
      <c r="L112" s="127"/>
      <c r="M112" s="127"/>
    </row>
    <row r="113" spans="1:21" x14ac:dyDescent="0.25">
      <c r="A113" s="324"/>
      <c r="B113" s="9"/>
      <c r="C113" s="10"/>
      <c r="D113" s="10"/>
      <c r="E113" s="9"/>
      <c r="F113" s="11"/>
      <c r="G113" s="9"/>
      <c r="H113" s="9"/>
      <c r="I113" s="9"/>
      <c r="L113" s="127"/>
      <c r="M113" s="127"/>
    </row>
    <row r="114" spans="1:21" x14ac:dyDescent="0.25">
      <c r="A114" s="324"/>
      <c r="B114" s="9"/>
      <c r="C114" s="10"/>
      <c r="D114" s="10"/>
      <c r="E114" s="9"/>
      <c r="F114" s="11"/>
      <c r="G114" s="9"/>
      <c r="H114" s="9"/>
      <c r="I114" s="9"/>
      <c r="L114" s="127"/>
      <c r="M114" s="127"/>
    </row>
    <row r="115" spans="1:21" x14ac:dyDescent="0.25">
      <c r="A115" s="324"/>
      <c r="B115" s="9"/>
      <c r="C115" s="10"/>
      <c r="D115" s="10"/>
      <c r="E115" s="9"/>
      <c r="F115" s="11"/>
      <c r="G115" s="9"/>
      <c r="H115" s="9"/>
      <c r="I115" s="9"/>
      <c r="L115" s="127"/>
      <c r="M115" s="127"/>
    </row>
    <row r="116" spans="1:21" x14ac:dyDescent="0.25">
      <c r="A116" s="324"/>
      <c r="B116" s="9"/>
      <c r="C116" s="10"/>
      <c r="D116" s="10"/>
      <c r="E116" s="9"/>
      <c r="F116" s="11"/>
      <c r="G116" s="9"/>
      <c r="H116" s="9"/>
      <c r="I116" s="9"/>
      <c r="L116" s="127"/>
      <c r="M116" s="127"/>
    </row>
    <row r="117" spans="1:21" x14ac:dyDescent="0.25">
      <c r="A117" s="324"/>
      <c r="B117" s="9"/>
      <c r="C117" s="10"/>
      <c r="D117" s="10"/>
      <c r="E117" s="9"/>
      <c r="F117" s="11"/>
      <c r="G117" s="9"/>
      <c r="H117" s="9"/>
      <c r="I117" s="9"/>
      <c r="L117" s="127"/>
      <c r="M117" s="127"/>
    </row>
    <row r="118" spans="1:21" x14ac:dyDescent="0.25">
      <c r="A118" s="324"/>
      <c r="B118" s="9"/>
      <c r="C118" s="10"/>
      <c r="D118" s="10"/>
      <c r="E118" s="9"/>
      <c r="F118" s="11"/>
      <c r="G118" s="9"/>
      <c r="H118" s="9"/>
      <c r="I118" s="9"/>
      <c r="L118" s="127"/>
      <c r="M118" s="127"/>
    </row>
    <row r="119" spans="1:21" x14ac:dyDescent="0.25">
      <c r="A119" s="324"/>
      <c r="B119" s="9"/>
      <c r="C119" s="10"/>
      <c r="D119" s="10"/>
      <c r="E119" s="9"/>
      <c r="F119" s="11"/>
      <c r="G119" s="9"/>
      <c r="H119" s="9"/>
      <c r="I119" s="9"/>
      <c r="L119" s="127"/>
      <c r="M119" s="127"/>
    </row>
    <row r="120" spans="1:21" x14ac:dyDescent="0.25">
      <c r="A120" s="324"/>
      <c r="B120" s="9"/>
      <c r="C120" s="10"/>
      <c r="D120" s="10"/>
      <c r="E120" s="9"/>
      <c r="F120" s="11"/>
      <c r="G120" s="9"/>
      <c r="H120" s="9"/>
      <c r="I120" s="9"/>
      <c r="L120" s="127"/>
      <c r="M120" s="127"/>
    </row>
    <row r="121" spans="1:21" s="1" customFormat="1" x14ac:dyDescent="0.25">
      <c r="A121" s="324"/>
      <c r="B121" s="9"/>
      <c r="C121" s="10"/>
      <c r="D121" s="10"/>
      <c r="E121" s="9"/>
      <c r="F121" s="11"/>
      <c r="G121" s="9"/>
      <c r="H121" s="9"/>
      <c r="I121" s="9"/>
      <c r="L121" s="127"/>
      <c r="M121" s="127"/>
      <c r="O121" s="5"/>
      <c r="P121" s="5"/>
      <c r="Q121" s="5"/>
      <c r="R121" s="5"/>
      <c r="S121" s="5"/>
      <c r="T121" s="5"/>
      <c r="U121" s="5"/>
    </row>
    <row r="122" spans="1:21" s="1" customFormat="1" x14ac:dyDescent="0.25">
      <c r="A122" s="324"/>
      <c r="B122" s="9"/>
      <c r="C122" s="10"/>
      <c r="D122" s="10"/>
      <c r="E122" s="9"/>
      <c r="F122" s="11"/>
      <c r="G122" s="9"/>
      <c r="H122" s="9"/>
      <c r="I122" s="9"/>
      <c r="L122" s="127"/>
      <c r="M122" s="127"/>
      <c r="O122" s="5"/>
      <c r="P122" s="5"/>
      <c r="Q122" s="5"/>
      <c r="R122" s="5"/>
      <c r="S122" s="5"/>
      <c r="T122" s="5"/>
      <c r="U122" s="5"/>
    </row>
    <row r="123" spans="1:21" s="1" customFormat="1" x14ac:dyDescent="0.25">
      <c r="A123" s="324"/>
      <c r="B123" s="9"/>
      <c r="C123" s="10"/>
      <c r="D123" s="10"/>
      <c r="E123" s="9"/>
      <c r="F123" s="11"/>
      <c r="G123" s="9"/>
      <c r="H123" s="9"/>
      <c r="I123" s="9"/>
      <c r="L123" s="127"/>
      <c r="M123" s="127"/>
      <c r="O123" s="5"/>
      <c r="P123" s="5"/>
      <c r="Q123" s="5"/>
      <c r="R123" s="5"/>
      <c r="S123" s="5"/>
      <c r="T123" s="5"/>
      <c r="U123" s="5"/>
    </row>
    <row r="124" spans="1:21" s="1" customFormat="1" x14ac:dyDescent="0.25">
      <c r="A124" s="324"/>
      <c r="B124" s="9"/>
      <c r="C124" s="10"/>
      <c r="D124" s="10"/>
      <c r="E124" s="9"/>
      <c r="F124" s="11"/>
      <c r="G124" s="9"/>
      <c r="H124" s="9"/>
      <c r="I124" s="9"/>
      <c r="L124" s="127"/>
      <c r="M124" s="127"/>
      <c r="O124" s="5"/>
      <c r="P124" s="5"/>
      <c r="Q124" s="5"/>
      <c r="R124" s="5"/>
      <c r="S124" s="5"/>
      <c r="T124" s="5"/>
      <c r="U124" s="5"/>
    </row>
    <row r="125" spans="1:21" s="1" customFormat="1" x14ac:dyDescent="0.25">
      <c r="A125" s="324"/>
      <c r="B125" s="9"/>
      <c r="C125" s="10"/>
      <c r="D125" s="10"/>
      <c r="E125" s="9"/>
      <c r="F125" s="11"/>
      <c r="G125" s="9"/>
      <c r="H125" s="9"/>
      <c r="I125" s="9"/>
      <c r="L125" s="127"/>
      <c r="M125" s="127"/>
      <c r="O125" s="5"/>
      <c r="P125" s="5"/>
      <c r="Q125" s="5"/>
      <c r="R125" s="5"/>
      <c r="S125" s="5"/>
      <c r="T125" s="5"/>
      <c r="U125" s="5"/>
    </row>
    <row r="126" spans="1:21" s="1" customFormat="1" x14ac:dyDescent="0.25">
      <c r="A126" s="324"/>
      <c r="B126" s="9"/>
      <c r="C126" s="10"/>
      <c r="D126" s="10"/>
      <c r="E126" s="9"/>
      <c r="F126" s="11"/>
      <c r="G126" s="9"/>
      <c r="H126" s="9"/>
      <c r="I126" s="9"/>
      <c r="L126" s="127"/>
      <c r="M126" s="127"/>
      <c r="O126" s="5"/>
      <c r="P126" s="5"/>
      <c r="Q126" s="5"/>
      <c r="R126" s="5"/>
      <c r="S126" s="5"/>
      <c r="T126" s="5"/>
      <c r="U126" s="5"/>
    </row>
    <row r="127" spans="1:21" s="1" customFormat="1" x14ac:dyDescent="0.25">
      <c r="A127" s="324"/>
      <c r="B127" s="9"/>
      <c r="C127" s="10"/>
      <c r="D127" s="10"/>
      <c r="E127" s="9"/>
      <c r="F127" s="11"/>
      <c r="G127" s="9"/>
      <c r="H127" s="9"/>
      <c r="I127" s="9"/>
      <c r="L127" s="127"/>
      <c r="M127" s="127"/>
      <c r="O127" s="5"/>
      <c r="P127" s="5"/>
      <c r="Q127" s="5"/>
      <c r="R127" s="5"/>
      <c r="S127" s="5"/>
      <c r="T127" s="5"/>
      <c r="U127" s="5"/>
    </row>
    <row r="128" spans="1:21" s="1" customFormat="1" x14ac:dyDescent="0.25">
      <c r="A128" s="324"/>
      <c r="B128" s="9"/>
      <c r="C128" s="10"/>
      <c r="D128" s="10"/>
      <c r="E128" s="9"/>
      <c r="F128" s="11"/>
      <c r="G128" s="9"/>
      <c r="H128" s="9"/>
      <c r="I128" s="9"/>
      <c r="L128" s="127"/>
      <c r="M128" s="127"/>
      <c r="O128" s="5"/>
      <c r="P128" s="5"/>
      <c r="Q128" s="5"/>
      <c r="R128" s="5"/>
      <c r="S128" s="5"/>
      <c r="T128" s="5"/>
      <c r="U128" s="5"/>
    </row>
    <row r="129" spans="1:21" s="1" customFormat="1" x14ac:dyDescent="0.25">
      <c r="A129" s="324"/>
      <c r="B129" s="9"/>
      <c r="C129" s="10"/>
      <c r="D129" s="10"/>
      <c r="E129" s="9"/>
      <c r="F129" s="11"/>
      <c r="G129" s="9"/>
      <c r="H129" s="9"/>
      <c r="I129" s="9"/>
      <c r="L129" s="127"/>
      <c r="M129" s="127"/>
      <c r="O129" s="5"/>
      <c r="P129" s="5"/>
      <c r="Q129" s="5"/>
      <c r="R129" s="5"/>
      <c r="S129" s="5"/>
      <c r="T129" s="5"/>
      <c r="U129" s="5"/>
    </row>
    <row r="130" spans="1:21" s="1" customFormat="1" x14ac:dyDescent="0.25">
      <c r="A130" s="324"/>
      <c r="B130" s="9"/>
      <c r="C130" s="10"/>
      <c r="D130" s="10"/>
      <c r="E130" s="9"/>
      <c r="F130" s="11"/>
      <c r="G130" s="9"/>
      <c r="H130" s="9"/>
      <c r="I130" s="9"/>
      <c r="L130" s="127"/>
      <c r="M130" s="127"/>
      <c r="O130" s="5"/>
      <c r="P130" s="5"/>
      <c r="Q130" s="5"/>
      <c r="R130" s="5"/>
      <c r="S130" s="5"/>
      <c r="T130" s="5"/>
      <c r="U130" s="5"/>
    </row>
    <row r="131" spans="1:21" s="1" customFormat="1" x14ac:dyDescent="0.25">
      <c r="A131" s="324"/>
      <c r="B131" s="9"/>
      <c r="C131" s="10"/>
      <c r="D131" s="10"/>
      <c r="E131" s="9"/>
      <c r="F131" s="11"/>
      <c r="G131" s="9"/>
      <c r="H131" s="9"/>
      <c r="I131" s="9"/>
      <c r="L131" s="127"/>
      <c r="M131" s="127"/>
      <c r="O131" s="5"/>
      <c r="P131" s="5"/>
      <c r="Q131" s="5"/>
      <c r="R131" s="5"/>
      <c r="S131" s="5"/>
      <c r="T131" s="5"/>
      <c r="U131" s="5"/>
    </row>
    <row r="132" spans="1:21" s="1" customFormat="1" x14ac:dyDescent="0.25">
      <c r="A132" s="324"/>
      <c r="B132" s="9"/>
      <c r="C132" s="10"/>
      <c r="D132" s="10"/>
      <c r="E132" s="9"/>
      <c r="F132" s="11"/>
      <c r="G132" s="9"/>
      <c r="H132" s="9"/>
      <c r="I132" s="9"/>
      <c r="L132" s="127"/>
      <c r="M132" s="127"/>
      <c r="O132" s="5"/>
      <c r="P132" s="5"/>
      <c r="Q132" s="5"/>
      <c r="R132" s="5"/>
      <c r="S132" s="5"/>
      <c r="T132" s="5"/>
      <c r="U132" s="5"/>
    </row>
    <row r="133" spans="1:21" s="1" customFormat="1" x14ac:dyDescent="0.25">
      <c r="A133" s="324"/>
      <c r="B133" s="9"/>
      <c r="C133" s="10"/>
      <c r="D133" s="10"/>
      <c r="E133" s="9"/>
      <c r="F133" s="11"/>
      <c r="G133" s="9"/>
      <c r="H133" s="9"/>
      <c r="I133" s="9"/>
      <c r="L133" s="127"/>
      <c r="M133" s="127"/>
      <c r="O133" s="5"/>
      <c r="P133" s="5"/>
      <c r="Q133" s="5"/>
      <c r="R133" s="5"/>
      <c r="S133" s="5"/>
      <c r="T133" s="5"/>
      <c r="U133" s="5"/>
    </row>
    <row r="134" spans="1:21" s="1" customFormat="1" x14ac:dyDescent="0.25">
      <c r="A134" s="324"/>
      <c r="B134" s="9"/>
      <c r="C134" s="10"/>
      <c r="D134" s="10"/>
      <c r="E134" s="9"/>
      <c r="F134" s="11"/>
      <c r="G134" s="9"/>
      <c r="H134" s="9"/>
      <c r="I134" s="9"/>
      <c r="L134" s="127"/>
      <c r="M134" s="127"/>
      <c r="O134" s="5"/>
      <c r="P134" s="5"/>
      <c r="Q134" s="5"/>
      <c r="R134" s="5"/>
      <c r="S134" s="5"/>
      <c r="T134" s="5"/>
      <c r="U134" s="5"/>
    </row>
    <row r="135" spans="1:21" s="1" customFormat="1" x14ac:dyDescent="0.25">
      <c r="A135" s="324"/>
      <c r="B135" s="9"/>
      <c r="C135" s="10"/>
      <c r="D135" s="10"/>
      <c r="E135" s="9"/>
      <c r="F135" s="11"/>
      <c r="G135" s="9"/>
      <c r="H135" s="9"/>
      <c r="I135" s="9"/>
      <c r="L135" s="127"/>
      <c r="M135" s="127"/>
      <c r="O135" s="5"/>
      <c r="P135" s="5"/>
      <c r="Q135" s="5"/>
      <c r="R135" s="5"/>
      <c r="S135" s="5"/>
      <c r="T135" s="5"/>
      <c r="U135" s="5"/>
    </row>
    <row r="136" spans="1:21" s="1" customFormat="1" x14ac:dyDescent="0.25">
      <c r="A136" s="324"/>
      <c r="B136" s="9"/>
      <c r="C136" s="10"/>
      <c r="D136" s="10"/>
      <c r="E136" s="9"/>
      <c r="F136" s="11"/>
      <c r="G136" s="9"/>
      <c r="H136" s="9"/>
      <c r="I136" s="9"/>
      <c r="L136" s="127"/>
      <c r="M136" s="127"/>
      <c r="O136" s="5"/>
      <c r="P136" s="5"/>
      <c r="Q136" s="5"/>
      <c r="R136" s="5"/>
      <c r="S136" s="5"/>
      <c r="T136" s="5"/>
      <c r="U136" s="5"/>
    </row>
    <row r="137" spans="1:21" s="1" customFormat="1" x14ac:dyDescent="0.25">
      <c r="A137" s="324"/>
      <c r="B137" s="9"/>
      <c r="C137" s="10"/>
      <c r="D137" s="10"/>
      <c r="E137" s="9"/>
      <c r="F137" s="11"/>
      <c r="G137" s="9"/>
      <c r="H137" s="9"/>
      <c r="I137" s="9"/>
      <c r="L137" s="127"/>
      <c r="M137" s="127"/>
      <c r="O137" s="5"/>
      <c r="P137" s="5"/>
      <c r="Q137" s="5"/>
      <c r="R137" s="5"/>
      <c r="S137" s="5"/>
      <c r="T137" s="5"/>
      <c r="U137" s="5"/>
    </row>
    <row r="138" spans="1:21" s="1" customFormat="1" x14ac:dyDescent="0.25">
      <c r="A138" s="324"/>
      <c r="B138" s="9"/>
      <c r="C138" s="10"/>
      <c r="D138" s="10"/>
      <c r="E138" s="9"/>
      <c r="F138" s="11"/>
      <c r="G138" s="9"/>
      <c r="H138" s="9"/>
      <c r="I138" s="9"/>
      <c r="L138" s="127"/>
      <c r="M138" s="127"/>
      <c r="O138" s="5"/>
      <c r="P138" s="5"/>
      <c r="Q138" s="5"/>
      <c r="R138" s="5"/>
      <c r="S138" s="5"/>
      <c r="T138" s="5"/>
      <c r="U138" s="5"/>
    </row>
    <row r="139" spans="1:21" s="1" customFormat="1" x14ac:dyDescent="0.25">
      <c r="A139" s="324"/>
      <c r="B139" s="9"/>
      <c r="C139" s="10"/>
      <c r="D139" s="10"/>
      <c r="E139" s="9"/>
      <c r="F139" s="11"/>
      <c r="G139" s="9"/>
      <c r="H139" s="9"/>
      <c r="I139" s="9"/>
      <c r="L139" s="127"/>
      <c r="M139" s="127"/>
      <c r="O139" s="5"/>
      <c r="P139" s="5"/>
      <c r="Q139" s="5"/>
      <c r="R139" s="5"/>
      <c r="S139" s="5"/>
      <c r="T139" s="5"/>
      <c r="U139" s="5"/>
    </row>
    <row r="140" spans="1:21" s="1" customFormat="1" x14ac:dyDescent="0.25">
      <c r="A140" s="324"/>
      <c r="B140" s="9"/>
      <c r="C140" s="10"/>
      <c r="D140" s="10"/>
      <c r="E140" s="9"/>
      <c r="F140" s="11"/>
      <c r="G140" s="9"/>
      <c r="H140" s="9"/>
      <c r="I140" s="9"/>
      <c r="L140" s="127"/>
      <c r="M140" s="127"/>
      <c r="O140" s="5"/>
      <c r="P140" s="5"/>
      <c r="Q140" s="5"/>
      <c r="R140" s="5"/>
      <c r="S140" s="5"/>
      <c r="T140" s="5"/>
      <c r="U140" s="5"/>
    </row>
    <row r="141" spans="1:21" s="1" customFormat="1" x14ac:dyDescent="0.25">
      <c r="A141" s="324"/>
      <c r="B141" s="9"/>
      <c r="C141" s="10"/>
      <c r="D141" s="10"/>
      <c r="E141" s="9"/>
      <c r="F141" s="11"/>
      <c r="G141" s="9"/>
      <c r="H141" s="9"/>
      <c r="I141" s="9"/>
      <c r="L141" s="127"/>
      <c r="M141" s="127"/>
      <c r="O141" s="5"/>
      <c r="P141" s="5"/>
      <c r="Q141" s="5"/>
      <c r="R141" s="5"/>
      <c r="S141" s="5"/>
      <c r="T141" s="5"/>
      <c r="U141" s="5"/>
    </row>
    <row r="142" spans="1:21" s="1" customFormat="1" x14ac:dyDescent="0.25">
      <c r="A142" s="324"/>
      <c r="B142" s="9"/>
      <c r="C142" s="10"/>
      <c r="D142" s="10"/>
      <c r="E142" s="9"/>
      <c r="F142" s="11"/>
      <c r="G142" s="9"/>
      <c r="H142" s="9"/>
      <c r="I142" s="9"/>
      <c r="L142" s="127"/>
      <c r="M142" s="127"/>
      <c r="O142" s="5"/>
      <c r="P142" s="5"/>
      <c r="Q142" s="5"/>
      <c r="R142" s="5"/>
      <c r="S142" s="5"/>
      <c r="T142" s="5"/>
      <c r="U142" s="5"/>
    </row>
    <row r="143" spans="1:21" s="1" customFormat="1" x14ac:dyDescent="0.25">
      <c r="A143" s="324"/>
      <c r="B143" s="9"/>
      <c r="C143" s="10"/>
      <c r="D143" s="10"/>
      <c r="E143" s="9"/>
      <c r="F143" s="11"/>
      <c r="G143" s="9"/>
      <c r="H143" s="9"/>
      <c r="I143" s="9"/>
      <c r="L143" s="127"/>
      <c r="M143" s="127"/>
      <c r="O143" s="5"/>
      <c r="P143" s="5"/>
      <c r="Q143" s="5"/>
      <c r="R143" s="5"/>
      <c r="S143" s="5"/>
      <c r="T143" s="5"/>
      <c r="U143" s="5"/>
    </row>
    <row r="144" spans="1:21" s="1" customFormat="1" x14ac:dyDescent="0.25">
      <c r="A144" s="324"/>
      <c r="B144" s="9"/>
      <c r="C144" s="10"/>
      <c r="D144" s="10"/>
      <c r="E144" s="9"/>
      <c r="F144" s="11"/>
      <c r="G144" s="9"/>
      <c r="H144" s="9"/>
      <c r="I144" s="9"/>
      <c r="L144" s="127"/>
      <c r="M144" s="127"/>
      <c r="O144" s="5"/>
      <c r="P144" s="5"/>
      <c r="Q144" s="5"/>
      <c r="R144" s="5"/>
      <c r="S144" s="5"/>
      <c r="T144" s="5"/>
      <c r="U144" s="5"/>
    </row>
    <row r="145" spans="1:21" s="1" customFormat="1" x14ac:dyDescent="0.25">
      <c r="A145" s="324"/>
      <c r="B145" s="9"/>
      <c r="C145" s="10"/>
      <c r="D145" s="10"/>
      <c r="E145" s="9"/>
      <c r="F145" s="11"/>
      <c r="G145" s="9"/>
      <c r="H145" s="9"/>
      <c r="I145" s="9"/>
      <c r="L145" s="127"/>
      <c r="M145" s="127"/>
      <c r="O145" s="5"/>
      <c r="P145" s="5"/>
      <c r="Q145" s="5"/>
      <c r="R145" s="5"/>
      <c r="S145" s="5"/>
      <c r="T145" s="5"/>
      <c r="U145" s="5"/>
    </row>
    <row r="146" spans="1:21" s="1" customFormat="1" x14ac:dyDescent="0.25">
      <c r="A146" s="324"/>
      <c r="B146" s="9"/>
      <c r="C146" s="10"/>
      <c r="D146" s="10"/>
      <c r="E146" s="9"/>
      <c r="F146" s="11"/>
      <c r="G146" s="9"/>
      <c r="H146" s="9"/>
      <c r="I146" s="9"/>
      <c r="L146" s="127"/>
      <c r="M146" s="127"/>
      <c r="O146" s="5"/>
      <c r="P146" s="5"/>
      <c r="Q146" s="5"/>
      <c r="R146" s="5"/>
      <c r="S146" s="5"/>
      <c r="T146" s="5"/>
      <c r="U146" s="5"/>
    </row>
    <row r="147" spans="1:21" s="1" customFormat="1" x14ac:dyDescent="0.25">
      <c r="A147" s="324"/>
      <c r="B147" s="9"/>
      <c r="C147" s="10"/>
      <c r="D147" s="10"/>
      <c r="E147" s="9"/>
      <c r="F147" s="11"/>
      <c r="G147" s="9"/>
      <c r="H147" s="9"/>
      <c r="I147" s="9"/>
      <c r="L147" s="127"/>
      <c r="M147" s="127"/>
      <c r="O147" s="5"/>
      <c r="P147" s="5"/>
      <c r="Q147" s="5"/>
      <c r="R147" s="5"/>
      <c r="S147" s="5"/>
      <c r="T147" s="5"/>
      <c r="U147" s="5"/>
    </row>
    <row r="148" spans="1:21" s="1" customFormat="1" x14ac:dyDescent="0.25">
      <c r="A148" s="320"/>
      <c r="B148" s="2"/>
      <c r="C148" s="5"/>
      <c r="D148" s="5"/>
      <c r="E148" s="2"/>
      <c r="F148" s="4"/>
      <c r="G148" s="2"/>
      <c r="H148" s="2"/>
      <c r="I148" s="2"/>
      <c r="L148" s="127"/>
      <c r="M148" s="127"/>
      <c r="O148" s="5"/>
      <c r="P148" s="5"/>
      <c r="Q148" s="5"/>
      <c r="R148" s="5"/>
      <c r="S148" s="5"/>
      <c r="T148" s="5"/>
      <c r="U148" s="5"/>
    </row>
    <row r="149" spans="1:21" s="1" customFormat="1" x14ac:dyDescent="0.25">
      <c r="A149" s="320"/>
      <c r="B149" s="2"/>
      <c r="C149" s="5"/>
      <c r="D149" s="5"/>
      <c r="E149" s="2"/>
      <c r="F149" s="4"/>
      <c r="G149" s="2"/>
      <c r="H149" s="2"/>
      <c r="I149" s="2"/>
      <c r="L149" s="127"/>
      <c r="M149" s="127"/>
      <c r="O149" s="5"/>
      <c r="P149" s="5"/>
      <c r="Q149" s="5"/>
      <c r="R149" s="5"/>
      <c r="S149" s="5"/>
      <c r="T149" s="5"/>
      <c r="U149" s="5"/>
    </row>
    <row r="150" spans="1:21" s="1" customFormat="1" x14ac:dyDescent="0.25">
      <c r="A150" s="320"/>
      <c r="B150" s="2"/>
      <c r="C150" s="5"/>
      <c r="D150" s="5"/>
      <c r="E150" s="2"/>
      <c r="F150" s="4"/>
      <c r="G150" s="2"/>
      <c r="H150" s="2"/>
      <c r="I150" s="2"/>
      <c r="L150" s="127"/>
      <c r="M150" s="127"/>
      <c r="O150" s="5"/>
      <c r="P150" s="5"/>
      <c r="Q150" s="5"/>
      <c r="R150" s="5"/>
      <c r="S150" s="5"/>
      <c r="T150" s="5"/>
      <c r="U150" s="5"/>
    </row>
    <row r="151" spans="1:21" s="1" customFormat="1" x14ac:dyDescent="0.25">
      <c r="A151" s="320"/>
      <c r="B151" s="2"/>
      <c r="C151" s="5"/>
      <c r="D151" s="5"/>
      <c r="E151" s="2"/>
      <c r="F151" s="4"/>
      <c r="G151" s="2"/>
      <c r="H151" s="2"/>
      <c r="I151" s="2"/>
      <c r="L151" s="127"/>
      <c r="M151" s="127"/>
      <c r="O151" s="5"/>
      <c r="P151" s="5"/>
      <c r="Q151" s="5"/>
      <c r="R151" s="5"/>
      <c r="S151" s="5"/>
      <c r="T151" s="5"/>
      <c r="U151" s="5"/>
    </row>
    <row r="152" spans="1:21" s="1" customFormat="1" x14ac:dyDescent="0.25">
      <c r="A152" s="320"/>
      <c r="B152" s="2"/>
      <c r="C152" s="5"/>
      <c r="D152" s="5"/>
      <c r="E152" s="2"/>
      <c r="F152" s="4"/>
      <c r="G152" s="2"/>
      <c r="H152" s="2"/>
      <c r="I152" s="2"/>
      <c r="L152" s="127"/>
      <c r="M152" s="127"/>
      <c r="O152" s="5"/>
      <c r="P152" s="5"/>
      <c r="Q152" s="5"/>
      <c r="R152" s="5"/>
      <c r="S152" s="5"/>
      <c r="T152" s="5"/>
      <c r="U152" s="5"/>
    </row>
    <row r="153" spans="1:21" s="1" customFormat="1" x14ac:dyDescent="0.25">
      <c r="A153" s="320"/>
      <c r="B153" s="2"/>
      <c r="C153" s="5"/>
      <c r="D153" s="5"/>
      <c r="E153" s="2"/>
      <c r="F153" s="4"/>
      <c r="G153" s="2"/>
      <c r="H153" s="2"/>
      <c r="I153" s="2"/>
      <c r="L153" s="127"/>
      <c r="M153" s="127"/>
      <c r="O153" s="5"/>
      <c r="P153" s="5"/>
      <c r="Q153" s="5"/>
      <c r="R153" s="5"/>
      <c r="S153" s="5"/>
      <c r="T153" s="5"/>
      <c r="U153" s="5"/>
    </row>
    <row r="154" spans="1:21" s="1" customFormat="1" x14ac:dyDescent="0.25">
      <c r="A154" s="320"/>
      <c r="B154" s="2"/>
      <c r="C154" s="5"/>
      <c r="D154" s="5"/>
      <c r="E154" s="2"/>
      <c r="F154" s="4"/>
      <c r="G154" s="2"/>
      <c r="H154" s="2"/>
      <c r="I154" s="2"/>
      <c r="L154" s="127"/>
      <c r="M154" s="127"/>
      <c r="O154" s="5"/>
      <c r="P154" s="5"/>
      <c r="Q154" s="5"/>
      <c r="R154" s="5"/>
      <c r="S154" s="5"/>
      <c r="T154" s="5"/>
      <c r="U154" s="5"/>
    </row>
    <row r="155" spans="1:21" s="1" customFormat="1" x14ac:dyDescent="0.25">
      <c r="A155" s="320"/>
      <c r="B155" s="2"/>
      <c r="C155" s="5"/>
      <c r="D155" s="5"/>
      <c r="E155" s="2"/>
      <c r="F155" s="4"/>
      <c r="G155" s="2"/>
      <c r="H155" s="2"/>
      <c r="I155" s="2"/>
      <c r="L155" s="127"/>
      <c r="M155" s="127"/>
      <c r="O155" s="5"/>
      <c r="P155" s="5"/>
      <c r="Q155" s="5"/>
      <c r="R155" s="5"/>
      <c r="S155" s="5"/>
      <c r="T155" s="5"/>
      <c r="U155" s="5"/>
    </row>
    <row r="156" spans="1:21" s="1" customFormat="1" x14ac:dyDescent="0.25">
      <c r="A156" s="320"/>
      <c r="B156" s="2"/>
      <c r="C156" s="5"/>
      <c r="D156" s="5"/>
      <c r="E156" s="2"/>
      <c r="F156" s="4"/>
      <c r="G156" s="2"/>
      <c r="H156" s="2"/>
      <c r="I156" s="2"/>
      <c r="L156" s="127"/>
      <c r="M156" s="127"/>
      <c r="O156" s="5"/>
      <c r="P156" s="5"/>
      <c r="Q156" s="5"/>
      <c r="R156" s="5"/>
      <c r="S156" s="5"/>
      <c r="T156" s="5"/>
      <c r="U156" s="5"/>
    </row>
    <row r="157" spans="1:21" s="1" customFormat="1" x14ac:dyDescent="0.25">
      <c r="A157" s="320"/>
      <c r="B157" s="2"/>
      <c r="C157" s="5"/>
      <c r="D157" s="5"/>
      <c r="E157" s="2"/>
      <c r="F157" s="4"/>
      <c r="G157" s="2"/>
      <c r="H157" s="2"/>
      <c r="I157" s="2"/>
      <c r="L157" s="127"/>
      <c r="M157" s="127"/>
      <c r="O157" s="5"/>
      <c r="P157" s="5"/>
      <c r="Q157" s="5"/>
      <c r="R157" s="5"/>
      <c r="S157" s="5"/>
      <c r="T157" s="5"/>
      <c r="U157" s="5"/>
    </row>
    <row r="158" spans="1:21" s="1" customFormat="1" x14ac:dyDescent="0.25">
      <c r="A158" s="320"/>
      <c r="B158" s="2"/>
      <c r="C158" s="5"/>
      <c r="D158" s="5"/>
      <c r="E158" s="2"/>
      <c r="F158" s="4"/>
      <c r="G158" s="2"/>
      <c r="H158" s="2"/>
      <c r="I158" s="2"/>
      <c r="L158" s="127"/>
      <c r="M158" s="127"/>
      <c r="O158" s="5"/>
      <c r="P158" s="5"/>
      <c r="Q158" s="5"/>
      <c r="R158" s="5"/>
      <c r="S158" s="5"/>
      <c r="T158" s="5"/>
      <c r="U158" s="5"/>
    </row>
    <row r="159" spans="1:21" s="1" customFormat="1" x14ac:dyDescent="0.25">
      <c r="A159" s="320"/>
      <c r="B159" s="2"/>
      <c r="C159" s="5"/>
      <c r="D159" s="5"/>
      <c r="E159" s="2"/>
      <c r="F159" s="4"/>
      <c r="G159" s="2"/>
      <c r="H159" s="2"/>
      <c r="I159" s="2"/>
      <c r="L159" s="127"/>
      <c r="M159" s="127"/>
      <c r="O159" s="5"/>
      <c r="P159" s="5"/>
      <c r="Q159" s="5"/>
      <c r="R159" s="5"/>
      <c r="S159" s="5"/>
      <c r="T159" s="5"/>
      <c r="U159" s="5"/>
    </row>
    <row r="160" spans="1:21" s="1" customFormat="1" x14ac:dyDescent="0.25">
      <c r="A160" s="320"/>
      <c r="B160" s="2"/>
      <c r="C160" s="5"/>
      <c r="D160" s="5"/>
      <c r="E160" s="2"/>
      <c r="F160" s="4"/>
      <c r="G160" s="2"/>
      <c r="H160" s="2"/>
      <c r="I160" s="2"/>
      <c r="L160" s="127"/>
      <c r="M160" s="127"/>
      <c r="O160" s="5"/>
      <c r="P160" s="5"/>
      <c r="Q160" s="5"/>
      <c r="R160" s="5"/>
      <c r="S160" s="5"/>
      <c r="T160" s="5"/>
      <c r="U160" s="5"/>
    </row>
    <row r="161" spans="1:21" s="1" customFormat="1" x14ac:dyDescent="0.25">
      <c r="A161" s="320"/>
      <c r="B161" s="2"/>
      <c r="C161" s="5"/>
      <c r="D161" s="5"/>
      <c r="E161" s="2"/>
      <c r="F161" s="4"/>
      <c r="G161" s="2"/>
      <c r="H161" s="2"/>
      <c r="I161" s="2"/>
      <c r="L161" s="127"/>
      <c r="M161" s="127"/>
      <c r="O161" s="5"/>
      <c r="P161" s="5"/>
      <c r="Q161" s="5"/>
      <c r="R161" s="5"/>
      <c r="S161" s="5"/>
      <c r="T161" s="5"/>
      <c r="U161" s="5"/>
    </row>
    <row r="162" spans="1:21" s="1" customFormat="1" x14ac:dyDescent="0.25">
      <c r="A162" s="320"/>
      <c r="B162" s="2"/>
      <c r="C162" s="5"/>
      <c r="D162" s="5"/>
      <c r="E162" s="2"/>
      <c r="F162" s="4"/>
      <c r="G162" s="2"/>
      <c r="H162" s="2"/>
      <c r="I162" s="2"/>
      <c r="L162" s="127"/>
      <c r="M162" s="127"/>
      <c r="O162" s="5"/>
      <c r="P162" s="5"/>
      <c r="Q162" s="5"/>
      <c r="R162" s="5"/>
      <c r="S162" s="5"/>
      <c r="T162" s="5"/>
      <c r="U162" s="5"/>
    </row>
    <row r="163" spans="1:21" s="1" customFormat="1" x14ac:dyDescent="0.25">
      <c r="A163" s="320"/>
      <c r="B163" s="2"/>
      <c r="C163" s="5"/>
      <c r="D163" s="5"/>
      <c r="E163" s="2"/>
      <c r="F163" s="4"/>
      <c r="G163" s="2"/>
      <c r="H163" s="2"/>
      <c r="I163" s="2"/>
      <c r="L163" s="127"/>
      <c r="M163" s="127"/>
      <c r="O163" s="5"/>
      <c r="P163" s="5"/>
      <c r="Q163" s="5"/>
      <c r="R163" s="5"/>
      <c r="S163" s="5"/>
      <c r="T163" s="5"/>
      <c r="U163" s="5"/>
    </row>
    <row r="164" spans="1:21" s="1" customFormat="1" x14ac:dyDescent="0.25">
      <c r="A164" s="320"/>
      <c r="B164" s="2"/>
      <c r="C164" s="5"/>
      <c r="D164" s="5"/>
      <c r="E164" s="2"/>
      <c r="F164" s="4"/>
      <c r="G164" s="2"/>
      <c r="H164" s="2"/>
      <c r="I164" s="2"/>
      <c r="L164" s="127"/>
      <c r="M164" s="127"/>
      <c r="O164" s="5"/>
      <c r="P164" s="5"/>
      <c r="Q164" s="5"/>
      <c r="R164" s="5"/>
      <c r="S164" s="5"/>
      <c r="T164" s="5"/>
      <c r="U164" s="5"/>
    </row>
    <row r="165" spans="1:21" s="1" customFormat="1" x14ac:dyDescent="0.25">
      <c r="A165" s="320"/>
      <c r="B165" s="2"/>
      <c r="C165" s="5"/>
      <c r="D165" s="5"/>
      <c r="E165" s="2"/>
      <c r="F165" s="4"/>
      <c r="G165" s="2"/>
      <c r="H165" s="2"/>
      <c r="I165" s="2"/>
      <c r="L165" s="127"/>
      <c r="M165" s="127"/>
      <c r="O165" s="5"/>
      <c r="P165" s="5"/>
      <c r="Q165" s="5"/>
      <c r="R165" s="5"/>
      <c r="S165" s="5"/>
      <c r="T165" s="5"/>
      <c r="U165" s="5"/>
    </row>
    <row r="166" spans="1:21" s="1" customFormat="1" x14ac:dyDescent="0.25">
      <c r="A166" s="320"/>
      <c r="B166" s="2"/>
      <c r="C166" s="5"/>
      <c r="D166" s="5"/>
      <c r="E166" s="2"/>
      <c r="F166" s="4"/>
      <c r="G166" s="2"/>
      <c r="H166" s="2"/>
      <c r="I166" s="2"/>
      <c r="L166" s="127"/>
      <c r="M166" s="127"/>
      <c r="O166" s="5"/>
      <c r="P166" s="5"/>
      <c r="Q166" s="5"/>
      <c r="R166" s="5"/>
      <c r="S166" s="5"/>
      <c r="T166" s="5"/>
      <c r="U166" s="5"/>
    </row>
    <row r="167" spans="1:21" s="1" customFormat="1" x14ac:dyDescent="0.25">
      <c r="A167" s="320"/>
      <c r="B167" s="2"/>
      <c r="C167" s="5"/>
      <c r="D167" s="5"/>
      <c r="E167" s="2"/>
      <c r="F167" s="4"/>
      <c r="G167" s="2"/>
      <c r="H167" s="2"/>
      <c r="I167" s="2"/>
      <c r="L167" s="127"/>
      <c r="M167" s="127"/>
      <c r="O167" s="5"/>
      <c r="P167" s="5"/>
      <c r="Q167" s="5"/>
      <c r="R167" s="5"/>
      <c r="S167" s="5"/>
      <c r="T167" s="5"/>
      <c r="U167" s="5"/>
    </row>
    <row r="168" spans="1:21" s="1" customFormat="1" x14ac:dyDescent="0.25">
      <c r="A168" s="320"/>
      <c r="B168" s="2"/>
      <c r="C168" s="5"/>
      <c r="D168" s="5"/>
      <c r="E168" s="2"/>
      <c r="F168" s="4"/>
      <c r="G168" s="2"/>
      <c r="H168" s="2"/>
      <c r="I168" s="2"/>
      <c r="L168" s="127"/>
      <c r="M168" s="127"/>
      <c r="O168" s="5"/>
      <c r="P168" s="5"/>
      <c r="Q168" s="5"/>
      <c r="R168" s="5"/>
      <c r="S168" s="5"/>
      <c r="T168" s="5"/>
      <c r="U168" s="5"/>
    </row>
    <row r="169" spans="1:21" s="1" customFormat="1" x14ac:dyDescent="0.25">
      <c r="A169" s="320"/>
      <c r="B169" s="2"/>
      <c r="C169" s="5"/>
      <c r="D169" s="5"/>
      <c r="E169" s="2"/>
      <c r="F169" s="4"/>
      <c r="G169" s="2"/>
      <c r="H169" s="2"/>
      <c r="I169" s="2"/>
      <c r="L169" s="127"/>
      <c r="M169" s="127"/>
      <c r="O169" s="5"/>
      <c r="P169" s="5"/>
      <c r="Q169" s="5"/>
      <c r="R169" s="5"/>
      <c r="S169" s="5"/>
      <c r="T169" s="5"/>
      <c r="U169" s="5"/>
    </row>
    <row r="170" spans="1:21" s="1" customFormat="1" x14ac:dyDescent="0.25">
      <c r="A170" s="320"/>
      <c r="B170" s="2"/>
      <c r="C170" s="5"/>
      <c r="D170" s="5"/>
      <c r="E170" s="2"/>
      <c r="F170" s="4"/>
      <c r="G170" s="2"/>
      <c r="H170" s="2"/>
      <c r="I170" s="2"/>
      <c r="L170" s="127"/>
      <c r="M170" s="127"/>
      <c r="O170" s="5"/>
      <c r="P170" s="5"/>
      <c r="Q170" s="5"/>
      <c r="R170" s="5"/>
      <c r="S170" s="5"/>
      <c r="T170" s="5"/>
      <c r="U170" s="5"/>
    </row>
    <row r="171" spans="1:21" s="1" customFormat="1" x14ac:dyDescent="0.25">
      <c r="A171" s="320"/>
      <c r="B171" s="2"/>
      <c r="C171" s="5"/>
      <c r="D171" s="5"/>
      <c r="E171" s="2"/>
      <c r="F171" s="4"/>
      <c r="G171" s="2"/>
      <c r="H171" s="2"/>
      <c r="I171" s="2"/>
      <c r="L171" s="127"/>
      <c r="M171" s="127"/>
      <c r="O171" s="5"/>
      <c r="P171" s="5"/>
      <c r="Q171" s="5"/>
      <c r="R171" s="5"/>
      <c r="S171" s="5"/>
      <c r="T171" s="5"/>
      <c r="U171" s="5"/>
    </row>
    <row r="172" spans="1:21" s="1" customFormat="1" x14ac:dyDescent="0.25">
      <c r="A172" s="320"/>
      <c r="B172" s="2"/>
      <c r="C172" s="5"/>
      <c r="D172" s="5"/>
      <c r="E172" s="2"/>
      <c r="F172" s="4"/>
      <c r="G172" s="2"/>
      <c r="H172" s="2"/>
      <c r="I172" s="2"/>
      <c r="L172" s="127"/>
      <c r="M172" s="127"/>
      <c r="O172" s="5"/>
      <c r="P172" s="5"/>
      <c r="Q172" s="5"/>
      <c r="R172" s="5"/>
      <c r="S172" s="5"/>
      <c r="T172" s="5"/>
      <c r="U172" s="5"/>
    </row>
    <row r="173" spans="1:21" s="1" customFormat="1" x14ac:dyDescent="0.25">
      <c r="A173" s="320"/>
      <c r="B173" s="2"/>
      <c r="C173" s="5"/>
      <c r="D173" s="5"/>
      <c r="E173" s="2"/>
      <c r="F173" s="4"/>
      <c r="G173" s="2"/>
      <c r="H173" s="2"/>
      <c r="I173" s="2"/>
      <c r="L173" s="127"/>
      <c r="M173" s="127"/>
      <c r="O173" s="5"/>
      <c r="P173" s="5"/>
      <c r="Q173" s="5"/>
      <c r="R173" s="5"/>
      <c r="S173" s="5"/>
      <c r="T173" s="5"/>
      <c r="U173" s="5"/>
    </row>
    <row r="174" spans="1:21" s="1" customFormat="1" x14ac:dyDescent="0.25">
      <c r="A174" s="320"/>
      <c r="B174" s="2"/>
      <c r="C174" s="5"/>
      <c r="D174" s="5"/>
      <c r="E174" s="2"/>
      <c r="F174" s="4"/>
      <c r="G174" s="2"/>
      <c r="H174" s="2"/>
      <c r="I174" s="2"/>
      <c r="L174" s="127"/>
      <c r="M174" s="127"/>
      <c r="O174" s="5"/>
      <c r="P174" s="5"/>
      <c r="Q174" s="5"/>
      <c r="R174" s="5"/>
      <c r="S174" s="5"/>
      <c r="T174" s="5"/>
      <c r="U174" s="5"/>
    </row>
    <row r="175" spans="1:21" s="1" customFormat="1" x14ac:dyDescent="0.25">
      <c r="A175" s="320"/>
      <c r="B175" s="2"/>
      <c r="C175" s="5"/>
      <c r="D175" s="5"/>
      <c r="E175" s="2"/>
      <c r="F175" s="4"/>
      <c r="G175" s="2"/>
      <c r="H175" s="2"/>
      <c r="I175" s="2"/>
      <c r="L175" s="127"/>
      <c r="M175" s="127"/>
      <c r="O175" s="5"/>
      <c r="P175" s="5"/>
      <c r="Q175" s="5"/>
      <c r="R175" s="5"/>
      <c r="S175" s="5"/>
      <c r="T175" s="5"/>
      <c r="U175" s="5"/>
    </row>
    <row r="176" spans="1:21" s="1" customFormat="1" x14ac:dyDescent="0.25">
      <c r="A176" s="320"/>
      <c r="B176" s="2"/>
      <c r="C176" s="5"/>
      <c r="D176" s="5"/>
      <c r="E176" s="2"/>
      <c r="F176" s="4"/>
      <c r="G176" s="2"/>
      <c r="H176" s="2"/>
      <c r="I176" s="2"/>
      <c r="L176" s="127"/>
      <c r="M176" s="127"/>
      <c r="O176" s="5"/>
      <c r="P176" s="5"/>
      <c r="Q176" s="5"/>
      <c r="R176" s="5"/>
      <c r="S176" s="5"/>
      <c r="T176" s="5"/>
      <c r="U176" s="5"/>
    </row>
    <row r="177" spans="1:21" s="1" customFormat="1" x14ac:dyDescent="0.25">
      <c r="A177" s="320"/>
      <c r="B177" s="2"/>
      <c r="C177" s="5"/>
      <c r="D177" s="5"/>
      <c r="E177" s="2"/>
      <c r="F177" s="4"/>
      <c r="G177" s="2"/>
      <c r="H177" s="2"/>
      <c r="I177" s="2"/>
      <c r="L177" s="127"/>
      <c r="M177" s="127"/>
      <c r="O177" s="5"/>
      <c r="P177" s="5"/>
      <c r="Q177" s="5"/>
      <c r="R177" s="5"/>
      <c r="S177" s="5"/>
      <c r="T177" s="5"/>
      <c r="U177" s="5"/>
    </row>
    <row r="178" spans="1:21" s="1" customFormat="1" x14ac:dyDescent="0.25">
      <c r="A178" s="320"/>
      <c r="B178" s="2"/>
      <c r="C178" s="5"/>
      <c r="D178" s="5"/>
      <c r="E178" s="2"/>
      <c r="F178" s="4"/>
      <c r="G178" s="2"/>
      <c r="H178" s="2"/>
      <c r="I178" s="2"/>
      <c r="L178" s="127"/>
      <c r="M178" s="127"/>
      <c r="O178" s="5"/>
      <c r="P178" s="5"/>
      <c r="Q178" s="5"/>
      <c r="R178" s="5"/>
      <c r="S178" s="5"/>
      <c r="T178" s="5"/>
      <c r="U178" s="5"/>
    </row>
    <row r="179" spans="1:21" s="1" customFormat="1" x14ac:dyDescent="0.25">
      <c r="A179" s="320"/>
      <c r="B179" s="2"/>
      <c r="C179" s="5"/>
      <c r="D179" s="5"/>
      <c r="E179" s="2"/>
      <c r="F179" s="4"/>
      <c r="G179" s="2"/>
      <c r="H179" s="2"/>
      <c r="I179" s="2"/>
      <c r="L179" s="127"/>
      <c r="M179" s="127"/>
      <c r="O179" s="5"/>
      <c r="P179" s="5"/>
      <c r="Q179" s="5"/>
      <c r="R179" s="5"/>
      <c r="S179" s="5"/>
      <c r="T179" s="5"/>
      <c r="U179" s="5"/>
    </row>
    <row r="180" spans="1:21" s="1" customFormat="1" x14ac:dyDescent="0.25">
      <c r="A180" s="320"/>
      <c r="B180" s="2"/>
      <c r="C180" s="5"/>
      <c r="D180" s="5"/>
      <c r="E180" s="2"/>
      <c r="F180" s="4"/>
      <c r="G180" s="2"/>
      <c r="H180" s="2"/>
      <c r="I180" s="2"/>
      <c r="L180" s="127"/>
      <c r="M180" s="127"/>
      <c r="O180" s="5"/>
      <c r="P180" s="5"/>
      <c r="Q180" s="5"/>
      <c r="R180" s="5"/>
      <c r="S180" s="5"/>
      <c r="T180" s="5"/>
      <c r="U180" s="5"/>
    </row>
    <row r="181" spans="1:21" s="1" customFormat="1" x14ac:dyDescent="0.25">
      <c r="A181" s="320"/>
      <c r="B181" s="2"/>
      <c r="C181" s="5"/>
      <c r="D181" s="5"/>
      <c r="E181" s="2"/>
      <c r="F181" s="4"/>
      <c r="G181" s="2"/>
      <c r="H181" s="2"/>
      <c r="I181" s="2"/>
      <c r="L181" s="127"/>
      <c r="M181" s="127"/>
      <c r="O181" s="5"/>
      <c r="P181" s="5"/>
      <c r="Q181" s="5"/>
      <c r="R181" s="5"/>
      <c r="S181" s="5"/>
      <c r="T181" s="5"/>
      <c r="U181" s="5"/>
    </row>
    <row r="182" spans="1:21" s="1" customFormat="1" x14ac:dyDescent="0.25">
      <c r="A182" s="320"/>
      <c r="B182" s="2"/>
      <c r="C182" s="5"/>
      <c r="D182" s="5"/>
      <c r="E182" s="2"/>
      <c r="F182" s="4"/>
      <c r="G182" s="2"/>
      <c r="H182" s="2"/>
      <c r="I182" s="2"/>
      <c r="L182" s="127"/>
      <c r="M182" s="127"/>
      <c r="O182" s="5"/>
      <c r="P182" s="5"/>
      <c r="Q182" s="5"/>
      <c r="R182" s="5"/>
      <c r="S182" s="5"/>
      <c r="T182" s="5"/>
      <c r="U182" s="5"/>
    </row>
    <row r="183" spans="1:21" s="1" customFormat="1" x14ac:dyDescent="0.25">
      <c r="A183" s="320"/>
      <c r="B183" s="2"/>
      <c r="C183" s="5"/>
      <c r="D183" s="5"/>
      <c r="E183" s="2"/>
      <c r="F183" s="4"/>
      <c r="G183" s="2"/>
      <c r="H183" s="2"/>
      <c r="I183" s="2"/>
      <c r="L183" s="127"/>
      <c r="M183" s="127"/>
      <c r="O183" s="5"/>
      <c r="P183" s="5"/>
      <c r="Q183" s="5"/>
      <c r="R183" s="5"/>
      <c r="S183" s="5"/>
      <c r="T183" s="5"/>
      <c r="U183" s="5"/>
    </row>
    <row r="184" spans="1:21" s="1" customFormat="1" x14ac:dyDescent="0.25">
      <c r="A184" s="320"/>
      <c r="B184" s="2"/>
      <c r="C184" s="5"/>
      <c r="D184" s="5"/>
      <c r="E184" s="2"/>
      <c r="F184" s="4"/>
      <c r="G184" s="2"/>
      <c r="H184" s="2"/>
      <c r="I184" s="2"/>
      <c r="L184" s="127"/>
      <c r="M184" s="127"/>
      <c r="O184" s="5"/>
      <c r="P184" s="5"/>
      <c r="Q184" s="5"/>
      <c r="R184" s="5"/>
      <c r="S184" s="5"/>
      <c r="T184" s="5"/>
      <c r="U184" s="5"/>
    </row>
    <row r="185" spans="1:21" s="1" customFormat="1" x14ac:dyDescent="0.25">
      <c r="A185" s="320"/>
      <c r="B185" s="2"/>
      <c r="C185" s="5"/>
      <c r="D185" s="5"/>
      <c r="E185" s="2"/>
      <c r="F185" s="4"/>
      <c r="G185" s="2"/>
      <c r="H185" s="2"/>
      <c r="I185" s="2"/>
      <c r="L185" s="127"/>
      <c r="M185" s="127"/>
      <c r="O185" s="5"/>
      <c r="P185" s="5"/>
      <c r="Q185" s="5"/>
      <c r="R185" s="5"/>
      <c r="S185" s="5"/>
      <c r="T185" s="5"/>
      <c r="U185" s="5"/>
    </row>
    <row r="186" spans="1:21" s="1" customFormat="1" x14ac:dyDescent="0.25">
      <c r="A186" s="320"/>
      <c r="B186" s="2"/>
      <c r="C186" s="5"/>
      <c r="D186" s="5"/>
      <c r="E186" s="2"/>
      <c r="F186" s="4"/>
      <c r="G186" s="2"/>
      <c r="H186" s="2"/>
      <c r="I186" s="2"/>
      <c r="L186" s="127"/>
      <c r="M186" s="127"/>
      <c r="O186" s="5"/>
      <c r="P186" s="5"/>
      <c r="Q186" s="5"/>
      <c r="R186" s="5"/>
      <c r="S186" s="5"/>
      <c r="T186" s="5"/>
      <c r="U186" s="5"/>
    </row>
    <row r="187" spans="1:21" s="1" customFormat="1" x14ac:dyDescent="0.25">
      <c r="A187" s="320"/>
      <c r="B187" s="2"/>
      <c r="C187" s="5"/>
      <c r="D187" s="5"/>
      <c r="E187" s="2"/>
      <c r="F187" s="4"/>
      <c r="G187" s="2"/>
      <c r="H187" s="2"/>
      <c r="I187" s="2"/>
      <c r="L187" s="127"/>
      <c r="M187" s="127"/>
      <c r="O187" s="5"/>
      <c r="P187" s="5"/>
      <c r="Q187" s="5"/>
      <c r="R187" s="5"/>
      <c r="S187" s="5"/>
      <c r="T187" s="5"/>
      <c r="U187" s="5"/>
    </row>
    <row r="188" spans="1:21" s="1" customFormat="1" x14ac:dyDescent="0.25">
      <c r="A188" s="320"/>
      <c r="B188" s="2"/>
      <c r="C188" s="5"/>
      <c r="D188" s="5"/>
      <c r="E188" s="2"/>
      <c r="F188" s="4"/>
      <c r="G188" s="2"/>
      <c r="H188" s="2"/>
      <c r="I188" s="2"/>
      <c r="L188" s="127"/>
      <c r="M188" s="127"/>
      <c r="O188" s="5"/>
      <c r="P188" s="5"/>
      <c r="Q188" s="5"/>
      <c r="R188" s="5"/>
      <c r="S188" s="5"/>
      <c r="T188" s="5"/>
      <c r="U188" s="5"/>
    </row>
    <row r="189" spans="1:21" s="1" customFormat="1" x14ac:dyDescent="0.25">
      <c r="A189" s="320"/>
      <c r="B189" s="2"/>
      <c r="C189" s="5"/>
      <c r="D189" s="5"/>
      <c r="E189" s="2"/>
      <c r="F189" s="4"/>
      <c r="G189" s="2"/>
      <c r="H189" s="2"/>
      <c r="I189" s="2"/>
      <c r="L189" s="127"/>
      <c r="M189" s="127"/>
      <c r="O189" s="5"/>
      <c r="P189" s="5"/>
      <c r="Q189" s="5"/>
      <c r="R189" s="5"/>
      <c r="S189" s="5"/>
      <c r="T189" s="5"/>
      <c r="U189" s="5"/>
    </row>
    <row r="190" spans="1:21" s="1" customFormat="1" x14ac:dyDescent="0.25">
      <c r="A190" s="320"/>
      <c r="B190" s="2"/>
      <c r="C190" s="5"/>
      <c r="D190" s="5"/>
      <c r="E190" s="2"/>
      <c r="F190" s="4"/>
      <c r="G190" s="2"/>
      <c r="H190" s="2"/>
      <c r="I190" s="2"/>
      <c r="L190" s="127"/>
      <c r="M190" s="127"/>
      <c r="O190" s="5"/>
      <c r="P190" s="5"/>
      <c r="Q190" s="5"/>
      <c r="R190" s="5"/>
      <c r="S190" s="5"/>
      <c r="T190" s="5"/>
      <c r="U190" s="5"/>
    </row>
    <row r="191" spans="1:21" s="1" customFormat="1" x14ac:dyDescent="0.25">
      <c r="A191" s="320"/>
      <c r="B191" s="2"/>
      <c r="C191" s="5"/>
      <c r="D191" s="5"/>
      <c r="E191" s="2"/>
      <c r="F191" s="4"/>
      <c r="G191" s="2"/>
      <c r="H191" s="2"/>
      <c r="I191" s="2"/>
      <c r="L191" s="127"/>
      <c r="M191" s="127"/>
      <c r="O191" s="5"/>
      <c r="P191" s="5"/>
      <c r="Q191" s="5"/>
      <c r="R191" s="5"/>
      <c r="S191" s="5"/>
      <c r="T191" s="5"/>
      <c r="U191" s="5"/>
    </row>
    <row r="192" spans="1:21" s="1" customFormat="1" x14ac:dyDescent="0.25">
      <c r="A192" s="320"/>
      <c r="B192" s="2"/>
      <c r="C192" s="5"/>
      <c r="D192" s="5"/>
      <c r="E192" s="2"/>
      <c r="F192" s="4"/>
      <c r="G192" s="2"/>
      <c r="H192" s="2"/>
      <c r="I192" s="2"/>
      <c r="L192" s="127"/>
      <c r="M192" s="127"/>
      <c r="O192" s="5"/>
      <c r="P192" s="5"/>
      <c r="Q192" s="5"/>
      <c r="R192" s="5"/>
      <c r="S192" s="5"/>
      <c r="T192" s="5"/>
      <c r="U192" s="5"/>
    </row>
    <row r="193" spans="1:21" s="1" customFormat="1" x14ac:dyDescent="0.25">
      <c r="A193" s="320"/>
      <c r="B193" s="2"/>
      <c r="C193" s="5"/>
      <c r="D193" s="5"/>
      <c r="E193" s="2"/>
      <c r="F193" s="4"/>
      <c r="G193" s="2"/>
      <c r="H193" s="2"/>
      <c r="I193" s="2"/>
      <c r="L193" s="127"/>
      <c r="M193" s="127"/>
      <c r="O193" s="5"/>
      <c r="P193" s="5"/>
      <c r="Q193" s="5"/>
      <c r="R193" s="5"/>
      <c r="S193" s="5"/>
      <c r="T193" s="5"/>
      <c r="U193" s="5"/>
    </row>
    <row r="194" spans="1:21" s="1" customFormat="1" x14ac:dyDescent="0.25">
      <c r="A194" s="320"/>
      <c r="B194" s="2"/>
      <c r="C194" s="5"/>
      <c r="D194" s="5"/>
      <c r="E194" s="2"/>
      <c r="F194" s="4"/>
      <c r="G194" s="2"/>
      <c r="H194" s="2"/>
      <c r="I194" s="2"/>
      <c r="L194" s="127"/>
      <c r="M194" s="127"/>
      <c r="O194" s="5"/>
      <c r="P194" s="5"/>
      <c r="Q194" s="5"/>
      <c r="R194" s="5"/>
      <c r="S194" s="5"/>
      <c r="T194" s="5"/>
      <c r="U194" s="5"/>
    </row>
    <row r="195" spans="1:21" s="1" customFormat="1" x14ac:dyDescent="0.25">
      <c r="A195" s="320"/>
      <c r="B195" s="2"/>
      <c r="C195" s="5"/>
      <c r="D195" s="5"/>
      <c r="E195" s="2"/>
      <c r="F195" s="4"/>
      <c r="G195" s="2"/>
      <c r="H195" s="2"/>
      <c r="I195" s="2"/>
      <c r="L195" s="127"/>
      <c r="M195" s="127"/>
      <c r="O195" s="5"/>
      <c r="P195" s="5"/>
      <c r="Q195" s="5"/>
      <c r="R195" s="5"/>
      <c r="S195" s="5"/>
      <c r="T195" s="5"/>
      <c r="U195" s="5"/>
    </row>
    <row r="196" spans="1:21" s="1" customFormat="1" x14ac:dyDescent="0.25">
      <c r="A196" s="320"/>
      <c r="B196" s="2"/>
      <c r="C196" s="5"/>
      <c r="D196" s="5"/>
      <c r="E196" s="2"/>
      <c r="F196" s="4"/>
      <c r="G196" s="2"/>
      <c r="H196" s="2"/>
      <c r="I196" s="2"/>
      <c r="L196" s="127"/>
      <c r="M196" s="127"/>
      <c r="O196" s="5"/>
      <c r="P196" s="5"/>
      <c r="Q196" s="5"/>
      <c r="R196" s="5"/>
      <c r="S196" s="5"/>
      <c r="T196" s="5"/>
      <c r="U196" s="5"/>
    </row>
    <row r="197" spans="1:21" s="1" customFormat="1" x14ac:dyDescent="0.25">
      <c r="A197" s="320"/>
      <c r="B197" s="2"/>
      <c r="C197" s="5"/>
      <c r="D197" s="5"/>
      <c r="E197" s="2"/>
      <c r="F197" s="4"/>
      <c r="G197" s="2"/>
      <c r="H197" s="2"/>
      <c r="I197" s="2"/>
      <c r="L197" s="127"/>
      <c r="M197" s="127"/>
      <c r="O197" s="5"/>
      <c r="P197" s="5"/>
      <c r="Q197" s="5"/>
      <c r="R197" s="5"/>
      <c r="S197" s="5"/>
      <c r="T197" s="5"/>
      <c r="U197" s="5"/>
    </row>
    <row r="198" spans="1:21" s="1" customFormat="1" x14ac:dyDescent="0.25">
      <c r="A198" s="320"/>
      <c r="B198" s="2"/>
      <c r="C198" s="5"/>
      <c r="D198" s="5"/>
      <c r="E198" s="2"/>
      <c r="F198" s="4"/>
      <c r="G198" s="2"/>
      <c r="H198" s="2"/>
      <c r="I198" s="2"/>
      <c r="L198" s="127"/>
      <c r="M198" s="127"/>
      <c r="O198" s="5"/>
      <c r="P198" s="5"/>
      <c r="Q198" s="5"/>
      <c r="R198" s="5"/>
      <c r="S198" s="5"/>
      <c r="T198" s="5"/>
      <c r="U198" s="5"/>
    </row>
    <row r="199" spans="1:21" s="1" customFormat="1" x14ac:dyDescent="0.25">
      <c r="A199" s="320"/>
      <c r="B199" s="2"/>
      <c r="C199" s="5"/>
      <c r="D199" s="5"/>
      <c r="E199" s="2"/>
      <c r="F199" s="4"/>
      <c r="G199" s="2"/>
      <c r="H199" s="2"/>
      <c r="I199" s="2"/>
      <c r="L199" s="127"/>
      <c r="M199" s="127"/>
      <c r="O199" s="5"/>
      <c r="P199" s="5"/>
      <c r="Q199" s="5"/>
      <c r="R199" s="5"/>
      <c r="S199" s="5"/>
      <c r="T199" s="5"/>
      <c r="U199" s="5"/>
    </row>
    <row r="200" spans="1:21" s="1" customFormat="1" x14ac:dyDescent="0.25">
      <c r="A200" s="320"/>
      <c r="B200" s="2"/>
      <c r="C200" s="5"/>
      <c r="D200" s="5"/>
      <c r="E200" s="2"/>
      <c r="F200" s="4"/>
      <c r="G200" s="2"/>
      <c r="H200" s="2"/>
      <c r="I200" s="2"/>
      <c r="L200" s="127"/>
      <c r="M200" s="127"/>
      <c r="O200" s="5"/>
      <c r="P200" s="5"/>
      <c r="Q200" s="5"/>
      <c r="R200" s="5"/>
      <c r="S200" s="5"/>
      <c r="T200" s="5"/>
      <c r="U200" s="5"/>
    </row>
    <row r="201" spans="1:21" s="1" customFormat="1" x14ac:dyDescent="0.25">
      <c r="A201" s="320"/>
      <c r="B201" s="2"/>
      <c r="C201" s="5"/>
      <c r="D201" s="5"/>
      <c r="E201" s="2"/>
      <c r="F201" s="4"/>
      <c r="G201" s="2"/>
      <c r="H201" s="2"/>
      <c r="I201" s="2"/>
      <c r="L201" s="127"/>
      <c r="M201" s="127"/>
      <c r="O201" s="5"/>
      <c r="P201" s="5"/>
      <c r="Q201" s="5"/>
      <c r="R201" s="5"/>
      <c r="S201" s="5"/>
      <c r="T201" s="5"/>
      <c r="U201" s="5"/>
    </row>
    <row r="202" spans="1:21" s="1" customFormat="1" x14ac:dyDescent="0.25">
      <c r="A202" s="320"/>
      <c r="B202" s="2"/>
      <c r="C202" s="5"/>
      <c r="D202" s="5"/>
      <c r="E202" s="2"/>
      <c r="F202" s="4"/>
      <c r="G202" s="2"/>
      <c r="H202" s="2"/>
      <c r="I202" s="2"/>
      <c r="L202" s="127"/>
      <c r="M202" s="127"/>
      <c r="O202" s="5"/>
      <c r="P202" s="5"/>
      <c r="Q202" s="5"/>
      <c r="R202" s="5"/>
      <c r="S202" s="5"/>
      <c r="T202" s="5"/>
      <c r="U202" s="5"/>
    </row>
    <row r="203" spans="1:21" s="1" customFormat="1" x14ac:dyDescent="0.25">
      <c r="A203" s="320"/>
      <c r="B203" s="2"/>
      <c r="C203" s="5"/>
      <c r="D203" s="5"/>
      <c r="E203" s="2"/>
      <c r="F203" s="4"/>
      <c r="G203" s="2"/>
      <c r="H203" s="2"/>
      <c r="I203" s="2"/>
      <c r="L203" s="127"/>
      <c r="M203" s="127"/>
      <c r="O203" s="5"/>
      <c r="P203" s="5"/>
      <c r="Q203" s="5"/>
      <c r="R203" s="5"/>
      <c r="S203" s="5"/>
      <c r="T203" s="5"/>
      <c r="U203" s="5"/>
    </row>
    <row r="204" spans="1:21" s="1" customFormat="1" x14ac:dyDescent="0.25">
      <c r="A204" s="320"/>
      <c r="B204" s="2"/>
      <c r="C204" s="5"/>
      <c r="D204" s="5"/>
      <c r="E204" s="2"/>
      <c r="F204" s="4"/>
      <c r="G204" s="2"/>
      <c r="H204" s="2"/>
      <c r="I204" s="2"/>
      <c r="L204" s="127"/>
      <c r="M204" s="127"/>
      <c r="O204" s="5"/>
      <c r="P204" s="5"/>
      <c r="Q204" s="5"/>
      <c r="R204" s="5"/>
      <c r="S204" s="5"/>
      <c r="T204" s="5"/>
      <c r="U204" s="5"/>
    </row>
    <row r="205" spans="1:21" s="1" customFormat="1" x14ac:dyDescent="0.25">
      <c r="A205" s="320"/>
      <c r="B205" s="2"/>
      <c r="C205" s="5"/>
      <c r="D205" s="5"/>
      <c r="E205" s="2"/>
      <c r="F205" s="4"/>
      <c r="G205" s="2"/>
      <c r="H205" s="2"/>
      <c r="I205" s="2"/>
      <c r="L205" s="127"/>
      <c r="M205" s="127"/>
      <c r="O205" s="5"/>
      <c r="P205" s="5"/>
      <c r="Q205" s="5"/>
      <c r="R205" s="5"/>
      <c r="S205" s="5"/>
      <c r="T205" s="5"/>
      <c r="U205" s="5"/>
    </row>
    <row r="206" spans="1:21" s="1" customFormat="1" x14ac:dyDescent="0.25">
      <c r="A206" s="320"/>
      <c r="B206" s="2"/>
      <c r="C206" s="5"/>
      <c r="D206" s="5"/>
      <c r="E206" s="2"/>
      <c r="F206" s="4"/>
      <c r="G206" s="2"/>
      <c r="H206" s="2"/>
      <c r="I206" s="2"/>
      <c r="L206" s="127"/>
      <c r="M206" s="127"/>
      <c r="O206" s="5"/>
      <c r="P206" s="5"/>
      <c r="Q206" s="5"/>
      <c r="R206" s="5"/>
      <c r="S206" s="5"/>
      <c r="T206" s="5"/>
      <c r="U206" s="5"/>
    </row>
    <row r="207" spans="1:21" s="1" customFormat="1" x14ac:dyDescent="0.25">
      <c r="A207" s="320"/>
      <c r="B207" s="2"/>
      <c r="C207" s="5"/>
      <c r="D207" s="5"/>
      <c r="E207" s="2"/>
      <c r="F207" s="4"/>
      <c r="G207" s="2"/>
      <c r="H207" s="2"/>
      <c r="I207" s="2"/>
      <c r="L207" s="127"/>
      <c r="M207" s="127"/>
      <c r="O207" s="5"/>
      <c r="P207" s="5"/>
      <c r="Q207" s="5"/>
      <c r="R207" s="5"/>
      <c r="S207" s="5"/>
      <c r="T207" s="5"/>
      <c r="U207" s="5"/>
    </row>
    <row r="208" spans="1:21" s="1" customFormat="1" x14ac:dyDescent="0.25">
      <c r="A208" s="320"/>
      <c r="B208" s="2"/>
      <c r="C208" s="5"/>
      <c r="D208" s="5"/>
      <c r="E208" s="2"/>
      <c r="F208" s="4"/>
      <c r="G208" s="2"/>
      <c r="H208" s="2"/>
      <c r="I208" s="2"/>
      <c r="L208" s="127"/>
      <c r="M208" s="127"/>
      <c r="O208" s="5"/>
      <c r="P208" s="5"/>
      <c r="Q208" s="5"/>
      <c r="R208" s="5"/>
      <c r="S208" s="5"/>
      <c r="T208" s="5"/>
      <c r="U208" s="5"/>
    </row>
    <row r="209" spans="1:21" s="1" customFormat="1" x14ac:dyDescent="0.25">
      <c r="A209" s="320"/>
      <c r="B209" s="2"/>
      <c r="C209" s="5"/>
      <c r="D209" s="5"/>
      <c r="E209" s="2"/>
      <c r="F209" s="4"/>
      <c r="G209" s="2"/>
      <c r="H209" s="2"/>
      <c r="I209" s="2"/>
      <c r="L209" s="127"/>
      <c r="M209" s="127"/>
      <c r="O209" s="5"/>
      <c r="P209" s="5"/>
      <c r="Q209" s="5"/>
      <c r="R209" s="5"/>
      <c r="S209" s="5"/>
      <c r="T209" s="5"/>
      <c r="U209" s="5"/>
    </row>
    <row r="210" spans="1:21" s="1" customFormat="1" x14ac:dyDescent="0.25">
      <c r="A210" s="320"/>
      <c r="B210" s="2"/>
      <c r="C210" s="5"/>
      <c r="D210" s="5"/>
      <c r="E210" s="2"/>
      <c r="F210" s="4"/>
      <c r="G210" s="2"/>
      <c r="H210" s="2"/>
      <c r="I210" s="2"/>
      <c r="L210" s="127"/>
      <c r="M210" s="127"/>
      <c r="O210" s="5"/>
      <c r="P210" s="5"/>
      <c r="Q210" s="5"/>
      <c r="R210" s="5"/>
      <c r="S210" s="5"/>
      <c r="T210" s="5"/>
      <c r="U210" s="5"/>
    </row>
    <row r="211" spans="1:21" s="1" customFormat="1" x14ac:dyDescent="0.25">
      <c r="A211" s="320"/>
      <c r="B211" s="2"/>
      <c r="C211" s="5"/>
      <c r="D211" s="5"/>
      <c r="E211" s="2"/>
      <c r="F211" s="4"/>
      <c r="G211" s="2"/>
      <c r="H211" s="2"/>
      <c r="I211" s="2"/>
      <c r="L211" s="127"/>
      <c r="M211" s="127"/>
      <c r="O211" s="5"/>
      <c r="P211" s="5"/>
      <c r="Q211" s="5"/>
      <c r="R211" s="5"/>
      <c r="S211" s="5"/>
      <c r="T211" s="5"/>
      <c r="U211" s="5"/>
    </row>
    <row r="212" spans="1:21" s="1" customFormat="1" x14ac:dyDescent="0.25">
      <c r="A212" s="320"/>
      <c r="B212" s="2"/>
      <c r="C212" s="5"/>
      <c r="D212" s="5"/>
      <c r="E212" s="2"/>
      <c r="F212" s="4"/>
      <c r="G212" s="2"/>
      <c r="H212" s="2"/>
      <c r="I212" s="2"/>
      <c r="L212" s="127"/>
      <c r="M212" s="127"/>
      <c r="O212" s="5"/>
      <c r="P212" s="5"/>
      <c r="Q212" s="5"/>
      <c r="R212" s="5"/>
      <c r="S212" s="5"/>
      <c r="T212" s="5"/>
      <c r="U212" s="5"/>
    </row>
    <row r="213" spans="1:21" s="1" customFormat="1" x14ac:dyDescent="0.25">
      <c r="A213" s="320"/>
      <c r="B213" s="2"/>
      <c r="C213" s="5"/>
      <c r="D213" s="5"/>
      <c r="E213" s="2"/>
      <c r="F213" s="4"/>
      <c r="G213" s="2"/>
      <c r="H213" s="2"/>
      <c r="I213" s="2"/>
      <c r="L213" s="127"/>
      <c r="M213" s="127"/>
      <c r="O213" s="5"/>
      <c r="P213" s="5"/>
      <c r="Q213" s="5"/>
      <c r="R213" s="5"/>
      <c r="S213" s="5"/>
      <c r="T213" s="5"/>
      <c r="U213" s="5"/>
    </row>
    <row r="214" spans="1:21" s="1" customFormat="1" x14ac:dyDescent="0.25">
      <c r="A214" s="320"/>
      <c r="B214" s="2"/>
      <c r="C214" s="5"/>
      <c r="D214" s="5"/>
      <c r="E214" s="2"/>
      <c r="F214" s="4"/>
      <c r="G214" s="2"/>
      <c r="H214" s="2"/>
      <c r="I214" s="2"/>
      <c r="L214" s="127"/>
      <c r="M214" s="127"/>
      <c r="O214" s="5"/>
      <c r="P214" s="5"/>
      <c r="Q214" s="5"/>
      <c r="R214" s="5"/>
      <c r="S214" s="5"/>
      <c r="T214" s="5"/>
      <c r="U214" s="5"/>
    </row>
    <row r="215" spans="1:21" s="1" customFormat="1" x14ac:dyDescent="0.25">
      <c r="A215" s="320"/>
      <c r="B215" s="2"/>
      <c r="C215" s="5"/>
      <c r="D215" s="5"/>
      <c r="E215" s="2"/>
      <c r="F215" s="4"/>
      <c r="G215" s="2"/>
      <c r="H215" s="2"/>
      <c r="I215" s="2"/>
      <c r="L215" s="127"/>
      <c r="M215" s="127"/>
      <c r="O215" s="5"/>
      <c r="P215" s="5"/>
      <c r="Q215" s="5"/>
      <c r="R215" s="5"/>
      <c r="S215" s="5"/>
      <c r="T215" s="5"/>
      <c r="U215" s="5"/>
    </row>
    <row r="216" spans="1:21" s="1" customFormat="1" x14ac:dyDescent="0.25">
      <c r="A216" s="320"/>
      <c r="B216" s="2"/>
      <c r="C216" s="5"/>
      <c r="D216" s="5"/>
      <c r="E216" s="2"/>
      <c r="F216" s="4"/>
      <c r="G216" s="2"/>
      <c r="H216" s="2"/>
      <c r="I216" s="2"/>
      <c r="L216" s="127"/>
      <c r="M216" s="127"/>
      <c r="O216" s="5"/>
      <c r="P216" s="5"/>
      <c r="Q216" s="5"/>
      <c r="R216" s="5"/>
      <c r="S216" s="5"/>
      <c r="T216" s="5"/>
      <c r="U216" s="5"/>
    </row>
    <row r="217" spans="1:21" s="1" customFormat="1" x14ac:dyDescent="0.25">
      <c r="A217" s="320"/>
      <c r="B217" s="2"/>
      <c r="C217" s="5"/>
      <c r="D217" s="5"/>
      <c r="E217" s="2"/>
      <c r="F217" s="4"/>
      <c r="G217" s="2"/>
      <c r="H217" s="2"/>
      <c r="I217" s="2"/>
      <c r="L217" s="127"/>
      <c r="M217" s="127"/>
      <c r="O217" s="5"/>
      <c r="P217" s="5"/>
      <c r="Q217" s="5"/>
      <c r="R217" s="5"/>
      <c r="S217" s="5"/>
      <c r="T217" s="5"/>
      <c r="U217" s="5"/>
    </row>
    <row r="218" spans="1:21" s="1" customFormat="1" x14ac:dyDescent="0.25">
      <c r="A218" s="320"/>
      <c r="B218" s="2"/>
      <c r="C218" s="5"/>
      <c r="D218" s="5"/>
      <c r="E218" s="2"/>
      <c r="F218" s="4"/>
      <c r="G218" s="2"/>
      <c r="H218" s="2"/>
      <c r="I218" s="2"/>
      <c r="L218" s="127"/>
      <c r="M218" s="127"/>
      <c r="O218" s="5"/>
      <c r="P218" s="5"/>
      <c r="Q218" s="5"/>
      <c r="R218" s="5"/>
      <c r="S218" s="5"/>
      <c r="T218" s="5"/>
      <c r="U218" s="5"/>
    </row>
    <row r="219" spans="1:21" s="1" customFormat="1" x14ac:dyDescent="0.25">
      <c r="A219" s="320"/>
      <c r="B219" s="2"/>
      <c r="C219" s="5"/>
      <c r="D219" s="5"/>
      <c r="E219" s="2"/>
      <c r="F219" s="4"/>
      <c r="G219" s="2"/>
      <c r="H219" s="2"/>
      <c r="I219" s="2"/>
      <c r="L219" s="127"/>
      <c r="M219" s="127"/>
      <c r="O219" s="5"/>
      <c r="P219" s="5"/>
      <c r="Q219" s="5"/>
      <c r="R219" s="5"/>
      <c r="S219" s="5"/>
      <c r="T219" s="5"/>
      <c r="U219" s="5"/>
    </row>
    <row r="220" spans="1:21" s="1" customFormat="1" x14ac:dyDescent="0.25">
      <c r="A220" s="320"/>
      <c r="B220" s="2"/>
      <c r="C220" s="5"/>
      <c r="D220" s="5"/>
      <c r="E220" s="2"/>
      <c r="F220" s="4"/>
      <c r="G220" s="2"/>
      <c r="H220" s="2"/>
      <c r="I220" s="2"/>
      <c r="L220" s="127"/>
      <c r="M220" s="127"/>
      <c r="O220" s="5"/>
      <c r="P220" s="5"/>
      <c r="Q220" s="5"/>
      <c r="R220" s="5"/>
      <c r="S220" s="5"/>
      <c r="T220" s="5"/>
      <c r="U220" s="5"/>
    </row>
    <row r="221" spans="1:21" s="1" customFormat="1" x14ac:dyDescent="0.25">
      <c r="A221" s="320"/>
      <c r="B221" s="2"/>
      <c r="C221" s="5"/>
      <c r="D221" s="5"/>
      <c r="E221" s="2"/>
      <c r="F221" s="4"/>
      <c r="G221" s="2"/>
      <c r="H221" s="2"/>
      <c r="I221" s="2"/>
      <c r="L221" s="127"/>
      <c r="M221" s="127"/>
      <c r="O221" s="5"/>
      <c r="P221" s="5"/>
      <c r="Q221" s="5"/>
      <c r="R221" s="5"/>
      <c r="S221" s="5"/>
      <c r="T221" s="5"/>
      <c r="U221" s="5"/>
    </row>
    <row r="222" spans="1:21" s="1" customFormat="1" x14ac:dyDescent="0.25">
      <c r="A222" s="320"/>
      <c r="B222" s="2"/>
      <c r="C222" s="5"/>
      <c r="D222" s="5"/>
      <c r="E222" s="2"/>
      <c r="F222" s="4"/>
      <c r="G222" s="2"/>
      <c r="H222" s="2"/>
      <c r="I222" s="2"/>
      <c r="L222" s="127"/>
      <c r="M222" s="127"/>
      <c r="O222" s="5"/>
      <c r="P222" s="5"/>
      <c r="Q222" s="5"/>
      <c r="R222" s="5"/>
      <c r="S222" s="5"/>
      <c r="T222" s="5"/>
      <c r="U222" s="5"/>
    </row>
    <row r="223" spans="1:21" s="1" customFormat="1" x14ac:dyDescent="0.25">
      <c r="A223" s="320"/>
      <c r="B223" s="2"/>
      <c r="C223" s="5"/>
      <c r="D223" s="5"/>
      <c r="E223" s="2"/>
      <c r="F223" s="4"/>
      <c r="G223" s="2"/>
      <c r="H223" s="2"/>
      <c r="I223" s="2"/>
      <c r="L223" s="127"/>
      <c r="M223" s="127"/>
      <c r="O223" s="5"/>
      <c r="P223" s="5"/>
      <c r="Q223" s="5"/>
      <c r="R223" s="5"/>
      <c r="S223" s="5"/>
      <c r="T223" s="5"/>
      <c r="U223" s="5"/>
    </row>
    <row r="224" spans="1:21" s="1" customFormat="1" x14ac:dyDescent="0.25">
      <c r="A224" s="320"/>
      <c r="B224" s="2"/>
      <c r="C224" s="5"/>
      <c r="D224" s="5"/>
      <c r="E224" s="2"/>
      <c r="F224" s="4"/>
      <c r="G224" s="2"/>
      <c r="H224" s="2"/>
      <c r="I224" s="2"/>
      <c r="L224" s="127"/>
      <c r="M224" s="127"/>
      <c r="O224" s="5"/>
      <c r="P224" s="5"/>
      <c r="Q224" s="5"/>
      <c r="R224" s="5"/>
      <c r="S224" s="5"/>
      <c r="T224" s="5"/>
      <c r="U224" s="5"/>
    </row>
    <row r="225" spans="1:21" s="1" customFormat="1" x14ac:dyDescent="0.25">
      <c r="A225" s="320"/>
      <c r="B225" s="2"/>
      <c r="C225" s="5"/>
      <c r="D225" s="5"/>
      <c r="E225" s="2"/>
      <c r="F225" s="4"/>
      <c r="G225" s="2"/>
      <c r="H225" s="2"/>
      <c r="I225" s="2"/>
      <c r="L225" s="127"/>
      <c r="M225" s="127"/>
      <c r="O225" s="5"/>
      <c r="P225" s="5"/>
      <c r="Q225" s="5"/>
      <c r="R225" s="5"/>
      <c r="S225" s="5"/>
      <c r="T225" s="5"/>
      <c r="U225" s="5"/>
    </row>
    <row r="226" spans="1:21" s="1" customFormat="1" x14ac:dyDescent="0.25">
      <c r="A226" s="320"/>
      <c r="B226" s="2"/>
      <c r="C226" s="5"/>
      <c r="D226" s="5"/>
      <c r="E226" s="2"/>
      <c r="F226" s="4"/>
      <c r="G226" s="2"/>
      <c r="H226" s="2"/>
      <c r="I226" s="2"/>
      <c r="L226" s="127"/>
      <c r="M226" s="127"/>
      <c r="O226" s="5"/>
      <c r="P226" s="5"/>
      <c r="Q226" s="5"/>
      <c r="R226" s="5"/>
      <c r="S226" s="5"/>
      <c r="T226" s="5"/>
      <c r="U226" s="5"/>
    </row>
    <row r="227" spans="1:21" s="1" customFormat="1" x14ac:dyDescent="0.25">
      <c r="A227" s="320"/>
      <c r="B227" s="2"/>
      <c r="C227" s="5"/>
      <c r="D227" s="5"/>
      <c r="E227" s="2"/>
      <c r="F227" s="4"/>
      <c r="G227" s="2"/>
      <c r="H227" s="2"/>
      <c r="I227" s="2"/>
      <c r="L227" s="127"/>
      <c r="M227" s="127"/>
      <c r="O227" s="5"/>
      <c r="P227" s="5"/>
      <c r="Q227" s="5"/>
      <c r="R227" s="5"/>
      <c r="S227" s="5"/>
      <c r="T227" s="5"/>
      <c r="U227" s="5"/>
    </row>
    <row r="228" spans="1:21" s="1" customFormat="1" x14ac:dyDescent="0.25">
      <c r="A228" s="320"/>
      <c r="B228" s="2"/>
      <c r="C228" s="5"/>
      <c r="D228" s="5"/>
      <c r="E228" s="2"/>
      <c r="F228" s="4"/>
      <c r="G228" s="2"/>
      <c r="H228" s="2"/>
      <c r="I228" s="2"/>
      <c r="L228" s="127"/>
      <c r="M228" s="127"/>
      <c r="O228" s="5"/>
      <c r="P228" s="5"/>
      <c r="Q228" s="5"/>
      <c r="R228" s="5"/>
      <c r="S228" s="5"/>
      <c r="T228" s="5"/>
      <c r="U228" s="5"/>
    </row>
    <row r="229" spans="1:21" s="1" customFormat="1" x14ac:dyDescent="0.25">
      <c r="A229" s="320"/>
      <c r="B229" s="2"/>
      <c r="C229" s="5"/>
      <c r="D229" s="5"/>
      <c r="E229" s="2"/>
      <c r="F229" s="4"/>
      <c r="G229" s="2"/>
      <c r="H229" s="2"/>
      <c r="I229" s="2"/>
      <c r="L229" s="127"/>
      <c r="M229" s="127"/>
      <c r="O229" s="5"/>
      <c r="P229" s="5"/>
      <c r="Q229" s="5"/>
      <c r="R229" s="5"/>
      <c r="S229" s="5"/>
      <c r="T229" s="5"/>
      <c r="U229" s="5"/>
    </row>
    <row r="230" spans="1:21" s="1" customFormat="1" x14ac:dyDescent="0.25">
      <c r="A230" s="320"/>
      <c r="B230" s="2"/>
      <c r="C230" s="5"/>
      <c r="D230" s="5"/>
      <c r="E230" s="2"/>
      <c r="F230" s="4"/>
      <c r="G230" s="2"/>
      <c r="H230" s="2"/>
      <c r="I230" s="2"/>
      <c r="L230" s="127"/>
      <c r="M230" s="127"/>
      <c r="O230" s="5"/>
      <c r="P230" s="5"/>
      <c r="Q230" s="5"/>
      <c r="R230" s="5"/>
      <c r="S230" s="5"/>
      <c r="T230" s="5"/>
      <c r="U230" s="5"/>
    </row>
    <row r="231" spans="1:21" s="1" customFormat="1" x14ac:dyDescent="0.25">
      <c r="A231" s="320"/>
      <c r="B231" s="2"/>
      <c r="C231" s="5"/>
      <c r="D231" s="5"/>
      <c r="E231" s="2"/>
      <c r="F231" s="4"/>
      <c r="G231" s="2"/>
      <c r="H231" s="2"/>
      <c r="I231" s="2"/>
      <c r="L231" s="127"/>
      <c r="M231" s="127"/>
      <c r="O231" s="5"/>
      <c r="P231" s="5"/>
      <c r="Q231" s="5"/>
      <c r="R231" s="5"/>
      <c r="S231" s="5"/>
      <c r="T231" s="5"/>
      <c r="U231" s="5"/>
    </row>
    <row r="232" spans="1:21" s="1" customFormat="1" x14ac:dyDescent="0.25">
      <c r="A232" s="320"/>
      <c r="B232" s="2"/>
      <c r="C232" s="5"/>
      <c r="D232" s="5"/>
      <c r="E232" s="2"/>
      <c r="F232" s="4"/>
      <c r="G232" s="2"/>
      <c r="H232" s="2"/>
      <c r="I232" s="2"/>
      <c r="L232" s="127"/>
      <c r="M232" s="127"/>
      <c r="O232" s="5"/>
      <c r="P232" s="5"/>
      <c r="Q232" s="5"/>
      <c r="R232" s="5"/>
      <c r="S232" s="5"/>
      <c r="T232" s="5"/>
      <c r="U232" s="5"/>
    </row>
    <row r="233" spans="1:21" s="1" customFormat="1" x14ac:dyDescent="0.25">
      <c r="A233" s="320"/>
      <c r="B233" s="2"/>
      <c r="C233" s="5"/>
      <c r="D233" s="5"/>
      <c r="E233" s="2"/>
      <c r="F233" s="4"/>
      <c r="G233" s="2"/>
      <c r="H233" s="2"/>
      <c r="I233" s="2"/>
      <c r="L233" s="127"/>
      <c r="M233" s="127"/>
      <c r="O233" s="5"/>
      <c r="P233" s="5"/>
      <c r="Q233" s="5"/>
      <c r="R233" s="5"/>
      <c r="S233" s="5"/>
      <c r="T233" s="5"/>
      <c r="U233" s="5"/>
    </row>
    <row r="234" spans="1:21" s="1" customFormat="1" x14ac:dyDescent="0.25">
      <c r="A234" s="320"/>
      <c r="B234" s="2"/>
      <c r="C234" s="5"/>
      <c r="D234" s="5"/>
      <c r="E234" s="2"/>
      <c r="F234" s="4"/>
      <c r="G234" s="2"/>
      <c r="H234" s="2"/>
      <c r="I234" s="2"/>
      <c r="L234" s="127"/>
      <c r="M234" s="127"/>
      <c r="O234" s="5"/>
      <c r="P234" s="5"/>
      <c r="Q234" s="5"/>
      <c r="R234" s="5"/>
      <c r="S234" s="5"/>
      <c r="T234" s="5"/>
      <c r="U234" s="5"/>
    </row>
    <row r="235" spans="1:21" s="1" customFormat="1" x14ac:dyDescent="0.25">
      <c r="A235" s="320"/>
      <c r="B235" s="2"/>
      <c r="C235" s="5"/>
      <c r="D235" s="5"/>
      <c r="E235" s="2"/>
      <c r="F235" s="4"/>
      <c r="G235" s="2"/>
      <c r="H235" s="2"/>
      <c r="I235" s="2"/>
      <c r="L235" s="127"/>
      <c r="M235" s="127"/>
      <c r="O235" s="5"/>
      <c r="P235" s="5"/>
      <c r="Q235" s="5"/>
      <c r="R235" s="5"/>
      <c r="S235" s="5"/>
      <c r="T235" s="5"/>
      <c r="U235" s="5"/>
    </row>
    <row r="236" spans="1:21" s="1" customFormat="1" x14ac:dyDescent="0.25">
      <c r="A236" s="320"/>
      <c r="B236" s="2"/>
      <c r="C236" s="5"/>
      <c r="D236" s="5"/>
      <c r="E236" s="2"/>
      <c r="F236" s="4"/>
      <c r="G236" s="2"/>
      <c r="H236" s="2"/>
      <c r="I236" s="2"/>
      <c r="L236" s="127"/>
      <c r="M236" s="127"/>
      <c r="O236" s="5"/>
      <c r="P236" s="5"/>
      <c r="Q236" s="5"/>
      <c r="R236" s="5"/>
      <c r="S236" s="5"/>
      <c r="T236" s="5"/>
      <c r="U236" s="5"/>
    </row>
    <row r="237" spans="1:21" s="1" customFormat="1" x14ac:dyDescent="0.25">
      <c r="A237" s="320"/>
      <c r="B237" s="2"/>
      <c r="C237" s="5"/>
      <c r="D237" s="5"/>
      <c r="E237" s="2"/>
      <c r="F237" s="4"/>
      <c r="G237" s="2"/>
      <c r="H237" s="2"/>
      <c r="I237" s="2"/>
      <c r="L237" s="127"/>
      <c r="M237" s="127"/>
      <c r="O237" s="5"/>
      <c r="P237" s="5"/>
      <c r="Q237" s="5"/>
      <c r="R237" s="5"/>
      <c r="S237" s="5"/>
      <c r="T237" s="5"/>
      <c r="U237" s="5"/>
    </row>
    <row r="238" spans="1:21" s="1" customFormat="1" x14ac:dyDescent="0.25">
      <c r="A238" s="320"/>
      <c r="B238" s="2"/>
      <c r="C238" s="5"/>
      <c r="D238" s="5"/>
      <c r="E238" s="2"/>
      <c r="F238" s="4"/>
      <c r="G238" s="2"/>
      <c r="H238" s="2"/>
      <c r="I238" s="2"/>
      <c r="L238" s="127"/>
      <c r="M238" s="127"/>
      <c r="O238" s="5"/>
      <c r="P238" s="5"/>
      <c r="Q238" s="5"/>
      <c r="R238" s="5"/>
      <c r="S238" s="5"/>
      <c r="T238" s="5"/>
      <c r="U238" s="5"/>
    </row>
    <row r="239" spans="1:21" s="1" customFormat="1" x14ac:dyDescent="0.25">
      <c r="A239" s="320"/>
      <c r="B239" s="2"/>
      <c r="C239" s="5"/>
      <c r="D239" s="5"/>
      <c r="E239" s="2"/>
      <c r="F239" s="4"/>
      <c r="G239" s="2"/>
      <c r="H239" s="2"/>
      <c r="I239" s="2"/>
      <c r="L239" s="127"/>
      <c r="M239" s="127"/>
      <c r="O239" s="5"/>
      <c r="P239" s="5"/>
      <c r="Q239" s="5"/>
      <c r="R239" s="5"/>
      <c r="S239" s="5"/>
      <c r="T239" s="5"/>
      <c r="U239" s="5"/>
    </row>
    <row r="240" spans="1:21" s="1" customFormat="1" x14ac:dyDescent="0.25">
      <c r="A240" s="320"/>
      <c r="B240" s="2"/>
      <c r="C240" s="5"/>
      <c r="D240" s="5"/>
      <c r="E240" s="2"/>
      <c r="F240" s="4"/>
      <c r="G240" s="2"/>
      <c r="H240" s="2"/>
      <c r="I240" s="2"/>
      <c r="L240" s="127"/>
      <c r="M240" s="127"/>
      <c r="O240" s="5"/>
      <c r="P240" s="5"/>
      <c r="Q240" s="5"/>
      <c r="R240" s="5"/>
      <c r="S240" s="5"/>
      <c r="T240" s="5"/>
      <c r="U240" s="5"/>
    </row>
    <row r="241" spans="1:21" s="1" customFormat="1" x14ac:dyDescent="0.25">
      <c r="A241" s="320"/>
      <c r="B241" s="2"/>
      <c r="C241" s="5"/>
      <c r="D241" s="5"/>
      <c r="E241" s="2"/>
      <c r="F241" s="4"/>
      <c r="G241" s="2"/>
      <c r="H241" s="2"/>
      <c r="I241" s="2"/>
      <c r="L241" s="127"/>
      <c r="M241" s="127"/>
      <c r="O241" s="5"/>
      <c r="P241" s="5"/>
      <c r="Q241" s="5"/>
      <c r="R241" s="5"/>
      <c r="S241" s="5"/>
      <c r="T241" s="5"/>
      <c r="U241" s="5"/>
    </row>
    <row r="242" spans="1:21" s="1" customFormat="1" x14ac:dyDescent="0.25">
      <c r="A242" s="320"/>
      <c r="B242" s="2"/>
      <c r="C242" s="5"/>
      <c r="D242" s="5"/>
      <c r="E242" s="2"/>
      <c r="F242" s="4"/>
      <c r="G242" s="2"/>
      <c r="H242" s="2"/>
      <c r="I242" s="2"/>
      <c r="L242" s="127"/>
      <c r="M242" s="127"/>
      <c r="O242" s="5"/>
      <c r="P242" s="5"/>
      <c r="Q242" s="5"/>
      <c r="R242" s="5"/>
      <c r="S242" s="5"/>
      <c r="T242" s="5"/>
      <c r="U242" s="5"/>
    </row>
    <row r="243" spans="1:21" s="1" customFormat="1" x14ac:dyDescent="0.25">
      <c r="A243" s="320"/>
      <c r="B243" s="2"/>
      <c r="C243" s="5"/>
      <c r="D243" s="5"/>
      <c r="E243" s="2"/>
      <c r="F243" s="4"/>
      <c r="G243" s="2"/>
      <c r="H243" s="2"/>
      <c r="I243" s="2"/>
      <c r="L243" s="127"/>
      <c r="M243" s="127"/>
      <c r="O243" s="5"/>
      <c r="P243" s="5"/>
      <c r="Q243" s="5"/>
      <c r="R243" s="5"/>
      <c r="S243" s="5"/>
      <c r="T243" s="5"/>
      <c r="U243" s="5"/>
    </row>
    <row r="244" spans="1:21" s="1" customFormat="1" x14ac:dyDescent="0.25">
      <c r="A244" s="320"/>
      <c r="B244" s="2"/>
      <c r="C244" s="5"/>
      <c r="D244" s="5"/>
      <c r="E244" s="2"/>
      <c r="F244" s="4"/>
      <c r="G244" s="2"/>
      <c r="H244" s="2"/>
      <c r="I244" s="2"/>
      <c r="L244" s="127"/>
      <c r="M244" s="127"/>
      <c r="O244" s="5"/>
      <c r="P244" s="5"/>
      <c r="Q244" s="5"/>
      <c r="R244" s="5"/>
      <c r="S244" s="5"/>
      <c r="T244" s="5"/>
      <c r="U244" s="5"/>
    </row>
    <row r="245" spans="1:21" s="1" customFormat="1" x14ac:dyDescent="0.25">
      <c r="A245" s="320"/>
      <c r="B245" s="2"/>
      <c r="C245" s="5"/>
      <c r="D245" s="5"/>
      <c r="E245" s="2"/>
      <c r="F245" s="4"/>
      <c r="G245" s="2"/>
      <c r="H245" s="2"/>
      <c r="I245" s="2"/>
      <c r="L245" s="127"/>
      <c r="M245" s="127"/>
      <c r="O245" s="5"/>
      <c r="P245" s="5"/>
      <c r="Q245" s="5"/>
      <c r="R245" s="5"/>
      <c r="S245" s="5"/>
      <c r="T245" s="5"/>
      <c r="U245" s="5"/>
    </row>
    <row r="246" spans="1:21" s="1" customFormat="1" x14ac:dyDescent="0.25">
      <c r="A246" s="320"/>
      <c r="B246" s="2"/>
      <c r="C246" s="5"/>
      <c r="D246" s="5"/>
      <c r="E246" s="2"/>
      <c r="F246" s="4"/>
      <c r="G246" s="2"/>
      <c r="H246" s="2"/>
      <c r="I246" s="2"/>
      <c r="L246" s="127"/>
      <c r="M246" s="127"/>
      <c r="O246" s="5"/>
      <c r="P246" s="5"/>
      <c r="Q246" s="5"/>
      <c r="R246" s="5"/>
      <c r="S246" s="5"/>
      <c r="T246" s="5"/>
      <c r="U246" s="5"/>
    </row>
    <row r="247" spans="1:21" s="1" customFormat="1" x14ac:dyDescent="0.25">
      <c r="A247" s="320"/>
      <c r="B247" s="2"/>
      <c r="C247" s="5"/>
      <c r="D247" s="5"/>
      <c r="E247" s="2"/>
      <c r="F247" s="4"/>
      <c r="G247" s="2"/>
      <c r="H247" s="2"/>
      <c r="I247" s="2"/>
      <c r="L247" s="127"/>
      <c r="M247" s="127"/>
      <c r="O247" s="5"/>
      <c r="P247" s="5"/>
      <c r="Q247" s="5"/>
      <c r="R247" s="5"/>
      <c r="S247" s="5"/>
      <c r="T247" s="5"/>
      <c r="U247" s="5"/>
    </row>
    <row r="248" spans="1:21" s="1" customFormat="1" x14ac:dyDescent="0.25">
      <c r="A248" s="320"/>
      <c r="B248" s="2"/>
      <c r="C248" s="5"/>
      <c r="D248" s="5"/>
      <c r="E248" s="2"/>
      <c r="F248" s="4"/>
      <c r="G248" s="2"/>
      <c r="H248" s="2"/>
      <c r="I248" s="2"/>
      <c r="L248" s="127"/>
      <c r="M248" s="127"/>
      <c r="O248" s="5"/>
      <c r="P248" s="5"/>
      <c r="Q248" s="5"/>
      <c r="R248" s="5"/>
      <c r="S248" s="5"/>
      <c r="T248" s="5"/>
      <c r="U248" s="5"/>
    </row>
    <row r="249" spans="1:21" s="1" customFormat="1" x14ac:dyDescent="0.25">
      <c r="A249" s="320"/>
      <c r="B249" s="2"/>
      <c r="C249" s="5"/>
      <c r="D249" s="5"/>
      <c r="E249" s="2"/>
      <c r="F249" s="4"/>
      <c r="G249" s="2"/>
      <c r="H249" s="2"/>
      <c r="I249" s="2"/>
      <c r="L249" s="127"/>
      <c r="M249" s="127"/>
      <c r="O249" s="5"/>
      <c r="P249" s="5"/>
      <c r="Q249" s="5"/>
      <c r="R249" s="5"/>
      <c r="S249" s="5"/>
      <c r="T249" s="5"/>
      <c r="U249" s="5"/>
    </row>
    <row r="250" spans="1:21" s="1" customFormat="1" x14ac:dyDescent="0.25">
      <c r="A250" s="320"/>
      <c r="B250" s="2"/>
      <c r="C250" s="5"/>
      <c r="D250" s="5"/>
      <c r="E250" s="2"/>
      <c r="F250" s="4"/>
      <c r="G250" s="2"/>
      <c r="H250" s="2"/>
      <c r="I250" s="2"/>
      <c r="L250" s="127"/>
      <c r="M250" s="127"/>
      <c r="O250" s="5"/>
      <c r="P250" s="5"/>
      <c r="Q250" s="5"/>
      <c r="R250" s="5"/>
      <c r="S250" s="5"/>
      <c r="T250" s="5"/>
      <c r="U250" s="5"/>
    </row>
    <row r="251" spans="1:21" s="1" customFormat="1" x14ac:dyDescent="0.25">
      <c r="A251" s="320"/>
      <c r="B251" s="2"/>
      <c r="C251" s="5"/>
      <c r="D251" s="5"/>
      <c r="E251" s="2"/>
      <c r="F251" s="4"/>
      <c r="G251" s="2"/>
      <c r="H251" s="2"/>
      <c r="I251" s="2"/>
      <c r="L251" s="127"/>
      <c r="M251" s="127"/>
      <c r="O251" s="5"/>
      <c r="P251" s="5"/>
      <c r="Q251" s="5"/>
      <c r="R251" s="5"/>
      <c r="S251" s="5"/>
      <c r="T251" s="5"/>
      <c r="U251" s="5"/>
    </row>
    <row r="252" spans="1:21" s="1" customFormat="1" x14ac:dyDescent="0.25">
      <c r="A252" s="320"/>
      <c r="B252" s="2"/>
      <c r="C252" s="5"/>
      <c r="D252" s="5"/>
      <c r="E252" s="2"/>
      <c r="F252" s="4"/>
      <c r="G252" s="2"/>
      <c r="H252" s="2"/>
      <c r="I252" s="2"/>
      <c r="L252" s="127"/>
      <c r="M252" s="127"/>
      <c r="O252" s="5"/>
      <c r="P252" s="5"/>
      <c r="Q252" s="5"/>
      <c r="R252" s="5"/>
      <c r="S252" s="5"/>
      <c r="T252" s="5"/>
      <c r="U252" s="5"/>
    </row>
    <row r="253" spans="1:21" s="1" customFormat="1" x14ac:dyDescent="0.25">
      <c r="A253" s="320"/>
      <c r="B253" s="2"/>
      <c r="C253" s="5"/>
      <c r="D253" s="5"/>
      <c r="E253" s="2"/>
      <c r="F253" s="4"/>
      <c r="G253" s="2"/>
      <c r="H253" s="2"/>
      <c r="I253" s="2"/>
      <c r="L253" s="127"/>
      <c r="M253" s="127"/>
      <c r="O253" s="5"/>
      <c r="P253" s="5"/>
      <c r="Q253" s="5"/>
      <c r="R253" s="5"/>
      <c r="S253" s="5"/>
      <c r="T253" s="5"/>
      <c r="U253" s="5"/>
    </row>
    <row r="254" spans="1:21" s="1" customFormat="1" x14ac:dyDescent="0.25">
      <c r="A254" s="320"/>
      <c r="B254" s="2"/>
      <c r="C254" s="5"/>
      <c r="D254" s="5"/>
      <c r="E254" s="2"/>
      <c r="F254" s="4"/>
      <c r="G254" s="2"/>
      <c r="H254" s="2"/>
      <c r="I254" s="2"/>
      <c r="L254" s="127"/>
      <c r="M254" s="127"/>
      <c r="O254" s="5"/>
      <c r="P254" s="5"/>
      <c r="Q254" s="5"/>
      <c r="R254" s="5"/>
      <c r="S254" s="5"/>
      <c r="T254" s="5"/>
      <c r="U254" s="5"/>
    </row>
    <row r="255" spans="1:21" s="1" customFormat="1" x14ac:dyDescent="0.25">
      <c r="A255" s="320"/>
      <c r="B255" s="2"/>
      <c r="C255" s="5"/>
      <c r="D255" s="5"/>
      <c r="E255" s="2"/>
      <c r="F255" s="4"/>
      <c r="G255" s="2"/>
      <c r="H255" s="2"/>
      <c r="I255" s="2"/>
      <c r="L255" s="127"/>
      <c r="M255" s="127"/>
      <c r="O255" s="5"/>
      <c r="P255" s="5"/>
      <c r="Q255" s="5"/>
      <c r="R255" s="5"/>
      <c r="S255" s="5"/>
      <c r="T255" s="5"/>
      <c r="U255" s="5"/>
    </row>
    <row r="256" spans="1:21" s="1" customFormat="1" x14ac:dyDescent="0.25">
      <c r="A256" s="320"/>
      <c r="B256" s="2"/>
      <c r="C256" s="5"/>
      <c r="D256" s="5"/>
      <c r="E256" s="2"/>
      <c r="F256" s="4"/>
      <c r="G256" s="2"/>
      <c r="H256" s="2"/>
      <c r="I256" s="2"/>
      <c r="L256" s="127"/>
      <c r="M256" s="127"/>
      <c r="O256" s="5"/>
      <c r="P256" s="5"/>
      <c r="Q256" s="5"/>
      <c r="R256" s="5"/>
      <c r="S256" s="5"/>
      <c r="T256" s="5"/>
      <c r="U256" s="5"/>
    </row>
    <row r="257" spans="1:21" s="1" customFormat="1" x14ac:dyDescent="0.25">
      <c r="A257" s="320"/>
      <c r="B257" s="2"/>
      <c r="C257" s="5"/>
      <c r="D257" s="5"/>
      <c r="E257" s="2"/>
      <c r="F257" s="4"/>
      <c r="G257" s="2"/>
      <c r="H257" s="2"/>
      <c r="I257" s="2"/>
      <c r="L257" s="127"/>
      <c r="M257" s="127"/>
      <c r="O257" s="5"/>
      <c r="P257" s="5"/>
      <c r="Q257" s="5"/>
      <c r="R257" s="5"/>
      <c r="S257" s="5"/>
      <c r="T257" s="5"/>
      <c r="U257" s="5"/>
    </row>
    <row r="258" spans="1:21" s="1" customFormat="1" x14ac:dyDescent="0.25">
      <c r="A258" s="320"/>
      <c r="B258" s="2"/>
      <c r="C258" s="5"/>
      <c r="D258" s="5"/>
      <c r="E258" s="2"/>
      <c r="F258" s="4"/>
      <c r="G258" s="2"/>
      <c r="H258" s="2"/>
      <c r="I258" s="2"/>
      <c r="L258" s="127"/>
      <c r="M258" s="127"/>
      <c r="O258" s="5"/>
      <c r="P258" s="5"/>
      <c r="Q258" s="5"/>
      <c r="R258" s="5"/>
      <c r="S258" s="5"/>
      <c r="T258" s="5"/>
      <c r="U258" s="5"/>
    </row>
    <row r="259" spans="1:21" s="1" customFormat="1" x14ac:dyDescent="0.25">
      <c r="A259" s="320"/>
      <c r="B259" s="2"/>
      <c r="C259" s="5"/>
      <c r="D259" s="5"/>
      <c r="E259" s="2"/>
      <c r="F259" s="4"/>
      <c r="G259" s="2"/>
      <c r="H259" s="2"/>
      <c r="I259" s="2"/>
      <c r="L259" s="127"/>
      <c r="M259" s="127"/>
      <c r="O259" s="5"/>
      <c r="P259" s="5"/>
      <c r="Q259" s="5"/>
      <c r="R259" s="5"/>
      <c r="S259" s="5"/>
      <c r="T259" s="5"/>
      <c r="U259" s="5"/>
    </row>
    <row r="260" spans="1:21" s="1" customFormat="1" x14ac:dyDescent="0.25">
      <c r="A260" s="320"/>
      <c r="B260" s="2"/>
      <c r="C260" s="5"/>
      <c r="D260" s="5"/>
      <c r="E260" s="2"/>
      <c r="F260" s="4"/>
      <c r="G260" s="2"/>
      <c r="H260" s="2"/>
      <c r="I260" s="2"/>
      <c r="L260" s="127"/>
      <c r="M260" s="127"/>
      <c r="O260" s="5"/>
      <c r="P260" s="5"/>
      <c r="Q260" s="5"/>
      <c r="R260" s="5"/>
      <c r="S260" s="5"/>
      <c r="T260" s="5"/>
      <c r="U260" s="5"/>
    </row>
    <row r="261" spans="1:21" s="1" customFormat="1" x14ac:dyDescent="0.25">
      <c r="A261" s="320"/>
      <c r="B261" s="2"/>
      <c r="C261" s="5"/>
      <c r="D261" s="5"/>
      <c r="E261" s="2"/>
      <c r="F261" s="4"/>
      <c r="G261" s="2"/>
      <c r="H261" s="2"/>
      <c r="I261" s="2"/>
      <c r="L261" s="127"/>
      <c r="M261" s="127"/>
      <c r="O261" s="5"/>
      <c r="P261" s="5"/>
      <c r="Q261" s="5"/>
      <c r="R261" s="5"/>
      <c r="S261" s="5"/>
      <c r="T261" s="5"/>
      <c r="U261" s="5"/>
    </row>
    <row r="262" spans="1:21" s="1" customFormat="1" x14ac:dyDescent="0.25">
      <c r="A262" s="320"/>
      <c r="B262" s="2"/>
      <c r="C262" s="5"/>
      <c r="D262" s="5"/>
      <c r="E262" s="2"/>
      <c r="F262" s="4"/>
      <c r="G262" s="2"/>
      <c r="H262" s="2"/>
      <c r="I262" s="2"/>
      <c r="L262" s="127"/>
      <c r="M262" s="127"/>
      <c r="O262" s="5"/>
      <c r="P262" s="5"/>
      <c r="Q262" s="5"/>
      <c r="R262" s="5"/>
      <c r="S262" s="5"/>
      <c r="T262" s="5"/>
      <c r="U262" s="5"/>
    </row>
    <row r="263" spans="1:21" s="1" customFormat="1" x14ac:dyDescent="0.25">
      <c r="A263" s="320"/>
      <c r="B263" s="2"/>
      <c r="C263" s="5"/>
      <c r="D263" s="5"/>
      <c r="E263" s="2"/>
      <c r="F263" s="4"/>
      <c r="G263" s="2"/>
      <c r="H263" s="2"/>
      <c r="I263" s="2"/>
      <c r="L263" s="127"/>
      <c r="M263" s="127"/>
      <c r="O263" s="5"/>
      <c r="P263" s="5"/>
      <c r="Q263" s="5"/>
      <c r="R263" s="5"/>
      <c r="S263" s="5"/>
      <c r="T263" s="5"/>
      <c r="U263" s="5"/>
    </row>
    <row r="264" spans="1:21" s="1" customFormat="1" x14ac:dyDescent="0.25">
      <c r="A264" s="320"/>
      <c r="B264" s="2"/>
      <c r="C264" s="5"/>
      <c r="D264" s="5"/>
      <c r="E264" s="2"/>
      <c r="F264" s="4"/>
      <c r="G264" s="2"/>
      <c r="H264" s="2"/>
      <c r="I264" s="2"/>
      <c r="L264" s="127"/>
      <c r="M264" s="127"/>
      <c r="O264" s="5"/>
      <c r="P264" s="5"/>
      <c r="Q264" s="5"/>
      <c r="R264" s="5"/>
      <c r="S264" s="5"/>
      <c r="T264" s="5"/>
      <c r="U264" s="5"/>
    </row>
    <row r="265" spans="1:21" s="1" customFormat="1" x14ac:dyDescent="0.25">
      <c r="A265" s="320"/>
      <c r="B265" s="2"/>
      <c r="C265" s="5"/>
      <c r="D265" s="5"/>
      <c r="E265" s="2"/>
      <c r="F265" s="4"/>
      <c r="G265" s="2"/>
      <c r="H265" s="2"/>
      <c r="I265" s="2"/>
      <c r="L265" s="127"/>
      <c r="M265" s="127"/>
      <c r="O265" s="5"/>
      <c r="P265" s="5"/>
      <c r="Q265" s="5"/>
      <c r="R265" s="5"/>
      <c r="S265" s="5"/>
      <c r="T265" s="5"/>
      <c r="U265" s="5"/>
    </row>
    <row r="266" spans="1:21" s="1" customFormat="1" x14ac:dyDescent="0.25">
      <c r="A266" s="320"/>
      <c r="B266" s="2"/>
      <c r="C266" s="5"/>
      <c r="D266" s="5"/>
      <c r="E266" s="2"/>
      <c r="F266" s="4"/>
      <c r="G266" s="2"/>
      <c r="H266" s="2"/>
      <c r="I266" s="2"/>
      <c r="L266" s="127"/>
      <c r="M266" s="127"/>
      <c r="O266" s="5"/>
      <c r="P266" s="5"/>
      <c r="Q266" s="5"/>
      <c r="R266" s="5"/>
      <c r="S266" s="5"/>
      <c r="T266" s="5"/>
      <c r="U266" s="5"/>
    </row>
    <row r="267" spans="1:21" s="1" customFormat="1" x14ac:dyDescent="0.25">
      <c r="A267" s="320"/>
      <c r="B267" s="2"/>
      <c r="C267" s="5"/>
      <c r="D267" s="5"/>
      <c r="E267" s="2"/>
      <c r="F267" s="4"/>
      <c r="G267" s="2"/>
      <c r="H267" s="2"/>
      <c r="I267" s="2"/>
      <c r="L267" s="127"/>
      <c r="M267" s="127"/>
      <c r="O267" s="5"/>
      <c r="P267" s="5"/>
      <c r="Q267" s="5"/>
      <c r="R267" s="5"/>
      <c r="S267" s="5"/>
      <c r="T267" s="5"/>
      <c r="U267" s="5"/>
    </row>
    <row r="268" spans="1:21" s="1" customFormat="1" x14ac:dyDescent="0.25">
      <c r="A268" s="320"/>
      <c r="B268" s="2"/>
      <c r="C268" s="5"/>
      <c r="D268" s="5"/>
      <c r="E268" s="2"/>
      <c r="F268" s="4"/>
      <c r="G268" s="2"/>
      <c r="H268" s="2"/>
      <c r="I268" s="2"/>
      <c r="L268" s="127"/>
      <c r="M268" s="127"/>
      <c r="O268" s="5"/>
      <c r="P268" s="5"/>
      <c r="Q268" s="5"/>
      <c r="R268" s="5"/>
      <c r="S268" s="5"/>
      <c r="T268" s="5"/>
      <c r="U268" s="5"/>
    </row>
    <row r="269" spans="1:21" s="1" customFormat="1" x14ac:dyDescent="0.25">
      <c r="A269" s="320"/>
      <c r="B269" s="2"/>
      <c r="C269" s="5"/>
      <c r="D269" s="5"/>
      <c r="E269" s="2"/>
      <c r="F269" s="4"/>
      <c r="G269" s="2"/>
      <c r="H269" s="2"/>
      <c r="I269" s="2"/>
      <c r="L269" s="127"/>
      <c r="M269" s="127"/>
      <c r="O269" s="5"/>
      <c r="P269" s="5"/>
      <c r="Q269" s="5"/>
      <c r="R269" s="5"/>
      <c r="S269" s="5"/>
      <c r="T269" s="5"/>
      <c r="U269" s="5"/>
    </row>
    <row r="270" spans="1:21" s="1" customFormat="1" x14ac:dyDescent="0.25">
      <c r="A270" s="320"/>
      <c r="B270" s="2"/>
      <c r="C270" s="5"/>
      <c r="D270" s="5"/>
      <c r="E270" s="2"/>
      <c r="F270" s="4"/>
      <c r="G270" s="2"/>
      <c r="H270" s="2"/>
      <c r="I270" s="2"/>
      <c r="L270" s="127"/>
      <c r="M270" s="127"/>
      <c r="O270" s="5"/>
      <c r="P270" s="5"/>
      <c r="Q270" s="5"/>
      <c r="R270" s="5"/>
      <c r="S270" s="5"/>
      <c r="T270" s="5"/>
      <c r="U270" s="5"/>
    </row>
    <row r="271" spans="1:21" s="1" customFormat="1" x14ac:dyDescent="0.25">
      <c r="A271" s="320"/>
      <c r="B271" s="2"/>
      <c r="C271" s="5"/>
      <c r="D271" s="5"/>
      <c r="E271" s="2"/>
      <c r="F271" s="4"/>
      <c r="G271" s="2"/>
      <c r="H271" s="2"/>
      <c r="I271" s="2"/>
      <c r="L271" s="127"/>
      <c r="M271" s="127"/>
      <c r="O271" s="5"/>
      <c r="P271" s="5"/>
      <c r="Q271" s="5"/>
      <c r="R271" s="5"/>
      <c r="S271" s="5"/>
      <c r="T271" s="5"/>
      <c r="U271" s="5"/>
    </row>
    <row r="272" spans="1:21" s="1" customFormat="1" x14ac:dyDescent="0.25">
      <c r="A272" s="320"/>
      <c r="B272" s="2"/>
      <c r="C272" s="5"/>
      <c r="D272" s="5"/>
      <c r="E272" s="2"/>
      <c r="F272" s="4"/>
      <c r="G272" s="2"/>
      <c r="H272" s="2"/>
      <c r="I272" s="2"/>
      <c r="L272" s="127"/>
      <c r="M272" s="127"/>
      <c r="O272" s="5"/>
      <c r="P272" s="5"/>
      <c r="Q272" s="5"/>
      <c r="R272" s="5"/>
      <c r="S272" s="5"/>
      <c r="T272" s="5"/>
      <c r="U272" s="5"/>
    </row>
    <row r="273" spans="1:21" s="1" customFormat="1" x14ac:dyDescent="0.25">
      <c r="A273" s="320"/>
      <c r="B273" s="2"/>
      <c r="C273" s="5"/>
      <c r="D273" s="5"/>
      <c r="E273" s="2"/>
      <c r="F273" s="4"/>
      <c r="G273" s="2"/>
      <c r="H273" s="2"/>
      <c r="I273" s="2"/>
      <c r="L273" s="127"/>
      <c r="M273" s="127"/>
      <c r="O273" s="5"/>
      <c r="P273" s="5"/>
      <c r="Q273" s="5"/>
      <c r="R273" s="5"/>
      <c r="S273" s="5"/>
      <c r="T273" s="5"/>
      <c r="U273" s="5"/>
    </row>
    <row r="274" spans="1:21" s="1" customFormat="1" x14ac:dyDescent="0.25">
      <c r="A274" s="320"/>
      <c r="B274" s="2"/>
      <c r="C274" s="5"/>
      <c r="D274" s="5"/>
      <c r="E274" s="2"/>
      <c r="F274" s="4"/>
      <c r="G274" s="2"/>
      <c r="H274" s="2"/>
      <c r="I274" s="2"/>
      <c r="L274" s="127"/>
      <c r="M274" s="127"/>
      <c r="O274" s="5"/>
      <c r="P274" s="5"/>
      <c r="Q274" s="5"/>
      <c r="R274" s="5"/>
      <c r="S274" s="5"/>
      <c r="T274" s="5"/>
      <c r="U274" s="5"/>
    </row>
    <row r="275" spans="1:21" s="1" customFormat="1" x14ac:dyDescent="0.25">
      <c r="A275" s="320"/>
      <c r="B275" s="2"/>
      <c r="C275" s="5"/>
      <c r="D275" s="5"/>
      <c r="E275" s="2"/>
      <c r="F275" s="4"/>
      <c r="G275" s="2"/>
      <c r="H275" s="2"/>
      <c r="I275" s="2"/>
      <c r="L275" s="127"/>
      <c r="M275" s="127"/>
      <c r="O275" s="5"/>
      <c r="P275" s="5"/>
      <c r="Q275" s="5"/>
      <c r="R275" s="5"/>
      <c r="S275" s="5"/>
      <c r="T275" s="5"/>
      <c r="U275" s="5"/>
    </row>
    <row r="276" spans="1:21" s="1" customFormat="1" x14ac:dyDescent="0.25">
      <c r="A276" s="320"/>
      <c r="B276" s="2"/>
      <c r="C276" s="5"/>
      <c r="D276" s="5"/>
      <c r="E276" s="2"/>
      <c r="F276" s="4"/>
      <c r="G276" s="2"/>
      <c r="H276" s="2"/>
      <c r="I276" s="2"/>
      <c r="L276" s="127"/>
      <c r="M276" s="127"/>
      <c r="O276" s="5"/>
      <c r="P276" s="5"/>
      <c r="Q276" s="5"/>
      <c r="R276" s="5"/>
      <c r="S276" s="5"/>
      <c r="T276" s="5"/>
      <c r="U276" s="5"/>
    </row>
    <row r="277" spans="1:21" s="1" customFormat="1" x14ac:dyDescent="0.25">
      <c r="A277" s="320"/>
      <c r="B277" s="2"/>
      <c r="C277" s="5"/>
      <c r="D277" s="5"/>
      <c r="E277" s="2"/>
      <c r="F277" s="4"/>
      <c r="G277" s="2"/>
      <c r="H277" s="2"/>
      <c r="I277" s="2"/>
      <c r="L277" s="127"/>
      <c r="M277" s="127"/>
      <c r="O277" s="5"/>
      <c r="P277" s="5"/>
      <c r="Q277" s="5"/>
      <c r="R277" s="5"/>
      <c r="S277" s="5"/>
      <c r="T277" s="5"/>
      <c r="U277" s="5"/>
    </row>
    <row r="278" spans="1:21" s="1" customFormat="1" x14ac:dyDescent="0.25">
      <c r="A278" s="320"/>
      <c r="B278" s="2"/>
      <c r="C278" s="5"/>
      <c r="D278" s="5"/>
      <c r="E278" s="2"/>
      <c r="F278" s="4"/>
      <c r="G278" s="2"/>
      <c r="H278" s="2"/>
      <c r="I278" s="2"/>
      <c r="L278" s="127"/>
      <c r="M278" s="127"/>
      <c r="O278" s="5"/>
      <c r="P278" s="5"/>
      <c r="Q278" s="5"/>
      <c r="R278" s="5"/>
      <c r="S278" s="5"/>
      <c r="T278" s="5"/>
      <c r="U278" s="5"/>
    </row>
    <row r="279" spans="1:21" s="1" customFormat="1" x14ac:dyDescent="0.25">
      <c r="A279" s="320"/>
      <c r="B279" s="2"/>
      <c r="C279" s="5"/>
      <c r="D279" s="5"/>
      <c r="E279" s="2"/>
      <c r="F279" s="4"/>
      <c r="G279" s="2"/>
      <c r="H279" s="2"/>
      <c r="I279" s="2"/>
      <c r="L279" s="127"/>
      <c r="M279" s="127"/>
      <c r="O279" s="5"/>
      <c r="P279" s="5"/>
      <c r="Q279" s="5"/>
      <c r="R279" s="5"/>
      <c r="S279" s="5"/>
      <c r="T279" s="5"/>
      <c r="U279" s="5"/>
    </row>
    <row r="280" spans="1:21" s="1" customFormat="1" x14ac:dyDescent="0.25">
      <c r="A280" s="320"/>
      <c r="B280" s="2"/>
      <c r="C280" s="5"/>
      <c r="D280" s="5"/>
      <c r="E280" s="2"/>
      <c r="F280" s="4"/>
      <c r="G280" s="2"/>
      <c r="H280" s="2"/>
      <c r="I280" s="2"/>
      <c r="L280" s="127"/>
      <c r="M280" s="127"/>
      <c r="O280" s="5"/>
      <c r="P280" s="5"/>
      <c r="Q280" s="5"/>
      <c r="R280" s="5"/>
      <c r="S280" s="5"/>
      <c r="T280" s="5"/>
      <c r="U280" s="5"/>
    </row>
    <row r="281" spans="1:21" s="1" customFormat="1" x14ac:dyDescent="0.25">
      <c r="A281" s="320"/>
      <c r="B281" s="2"/>
      <c r="C281" s="5"/>
      <c r="D281" s="5"/>
      <c r="E281" s="2"/>
      <c r="F281" s="4"/>
      <c r="G281" s="2"/>
      <c r="H281" s="2"/>
      <c r="I281" s="2"/>
      <c r="L281" s="127"/>
      <c r="M281" s="127"/>
      <c r="O281" s="5"/>
      <c r="P281" s="5"/>
      <c r="Q281" s="5"/>
      <c r="R281" s="5"/>
      <c r="S281" s="5"/>
      <c r="T281" s="5"/>
      <c r="U281" s="5"/>
    </row>
    <row r="282" spans="1:21" s="1" customFormat="1" x14ac:dyDescent="0.25">
      <c r="A282" s="320"/>
      <c r="B282" s="2"/>
      <c r="C282" s="5"/>
      <c r="D282" s="5"/>
      <c r="E282" s="2"/>
      <c r="F282" s="4"/>
      <c r="G282" s="2"/>
      <c r="H282" s="2"/>
      <c r="I282" s="2"/>
      <c r="L282" s="127"/>
      <c r="M282" s="127"/>
      <c r="O282" s="5"/>
      <c r="P282" s="5"/>
      <c r="Q282" s="5"/>
      <c r="R282" s="5"/>
      <c r="S282" s="5"/>
      <c r="T282" s="5"/>
      <c r="U282" s="5"/>
    </row>
    <row r="283" spans="1:21" s="1" customFormat="1" x14ac:dyDescent="0.25">
      <c r="A283" s="320"/>
      <c r="B283" s="2"/>
      <c r="C283" s="5"/>
      <c r="D283" s="5"/>
      <c r="E283" s="2"/>
      <c r="F283" s="4"/>
      <c r="G283" s="2"/>
      <c r="H283" s="2"/>
      <c r="I283" s="2"/>
      <c r="L283" s="127"/>
      <c r="M283" s="127"/>
      <c r="O283" s="5"/>
      <c r="P283" s="5"/>
      <c r="Q283" s="5"/>
      <c r="R283" s="5"/>
      <c r="S283" s="5"/>
      <c r="T283" s="5"/>
      <c r="U283" s="5"/>
    </row>
    <row r="284" spans="1:21" s="1" customFormat="1" x14ac:dyDescent="0.25">
      <c r="A284" s="320"/>
      <c r="B284" s="2"/>
      <c r="C284" s="5"/>
      <c r="D284" s="5"/>
      <c r="E284" s="2"/>
      <c r="F284" s="4"/>
      <c r="G284" s="2"/>
      <c r="H284" s="2"/>
      <c r="I284" s="2"/>
      <c r="L284" s="127"/>
      <c r="M284" s="127"/>
      <c r="O284" s="5"/>
      <c r="P284" s="5"/>
      <c r="Q284" s="5"/>
      <c r="R284" s="5"/>
      <c r="S284" s="5"/>
      <c r="T284" s="5"/>
      <c r="U284" s="5"/>
    </row>
    <row r="285" spans="1:21" s="1" customFormat="1" x14ac:dyDescent="0.25">
      <c r="A285" s="320"/>
      <c r="B285" s="2"/>
      <c r="C285" s="5"/>
      <c r="D285" s="5"/>
      <c r="E285" s="2"/>
      <c r="F285" s="4"/>
      <c r="G285" s="2"/>
      <c r="H285" s="2"/>
      <c r="I285" s="2"/>
      <c r="L285" s="127"/>
      <c r="M285" s="127"/>
      <c r="O285" s="5"/>
      <c r="P285" s="5"/>
      <c r="Q285" s="5"/>
      <c r="R285" s="5"/>
      <c r="S285" s="5"/>
      <c r="T285" s="5"/>
      <c r="U285" s="5"/>
    </row>
    <row r="286" spans="1:21" s="1" customFormat="1" x14ac:dyDescent="0.25">
      <c r="A286" s="320"/>
      <c r="B286" s="2"/>
      <c r="C286" s="5"/>
      <c r="D286" s="5"/>
      <c r="E286" s="2"/>
      <c r="F286" s="4"/>
      <c r="G286" s="2"/>
      <c r="H286" s="2"/>
      <c r="I286" s="2"/>
      <c r="L286" s="127"/>
      <c r="M286" s="127"/>
      <c r="O286" s="5"/>
      <c r="P286" s="5"/>
      <c r="Q286" s="5"/>
      <c r="R286" s="5"/>
      <c r="S286" s="5"/>
      <c r="T286" s="5"/>
      <c r="U286" s="5"/>
    </row>
    <row r="287" spans="1:21" s="1" customFormat="1" x14ac:dyDescent="0.25">
      <c r="A287" s="320"/>
      <c r="B287" s="2"/>
      <c r="C287" s="5"/>
      <c r="D287" s="5"/>
      <c r="E287" s="2"/>
      <c r="F287" s="4"/>
      <c r="G287" s="2"/>
      <c r="H287" s="2"/>
      <c r="I287" s="2"/>
      <c r="L287" s="127"/>
      <c r="M287" s="127"/>
      <c r="O287" s="5"/>
      <c r="P287" s="5"/>
      <c r="Q287" s="5"/>
      <c r="R287" s="5"/>
      <c r="S287" s="5"/>
      <c r="T287" s="5"/>
      <c r="U287" s="5"/>
    </row>
    <row r="288" spans="1:21" s="1" customFormat="1" x14ac:dyDescent="0.25">
      <c r="A288" s="320"/>
      <c r="B288" s="2"/>
      <c r="C288" s="5"/>
      <c r="D288" s="5"/>
      <c r="E288" s="2"/>
      <c r="F288" s="4"/>
      <c r="G288" s="2"/>
      <c r="H288" s="2"/>
      <c r="I288" s="2"/>
      <c r="L288" s="127"/>
      <c r="M288" s="127"/>
      <c r="O288" s="5"/>
      <c r="P288" s="5"/>
      <c r="Q288" s="5"/>
      <c r="R288" s="5"/>
      <c r="S288" s="5"/>
      <c r="T288" s="5"/>
      <c r="U288" s="5"/>
    </row>
    <row r="289" spans="1:21" s="1" customFormat="1" x14ac:dyDescent="0.25">
      <c r="A289" s="320"/>
      <c r="B289" s="2"/>
      <c r="C289" s="5"/>
      <c r="D289" s="5"/>
      <c r="E289" s="2"/>
      <c r="F289" s="4"/>
      <c r="G289" s="2"/>
      <c r="H289" s="2"/>
      <c r="I289" s="2"/>
      <c r="L289" s="127"/>
      <c r="M289" s="127"/>
      <c r="O289" s="5"/>
      <c r="P289" s="5"/>
      <c r="Q289" s="5"/>
      <c r="R289" s="5"/>
      <c r="S289" s="5"/>
      <c r="T289" s="5"/>
      <c r="U289" s="5"/>
    </row>
    <row r="290" spans="1:21" s="1" customFormat="1" x14ac:dyDescent="0.25">
      <c r="A290" s="320"/>
      <c r="B290" s="2"/>
      <c r="C290" s="5"/>
      <c r="D290" s="5"/>
      <c r="E290" s="2"/>
      <c r="F290" s="4"/>
      <c r="G290" s="2"/>
      <c r="H290" s="2"/>
      <c r="I290" s="2"/>
      <c r="L290" s="127"/>
      <c r="M290" s="127"/>
      <c r="O290" s="5"/>
      <c r="P290" s="5"/>
      <c r="Q290" s="5"/>
      <c r="R290" s="5"/>
      <c r="S290" s="5"/>
      <c r="T290" s="5"/>
      <c r="U290" s="5"/>
    </row>
  </sheetData>
  <sheetProtection password="EA71" sheet="1" objects="1" scenarios="1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60" fitToHeight="2" orientation="landscape" horizontalDpi="300" verticalDpi="98" r:id="rId1"/>
  <headerFooter alignWithMargins="0">
    <oddHeader>&amp;C&amp;"Arial,Fett"&amp;16LOHMANN BROWN Classic Layers</oddHeader>
    <oddFooter>&amp;Lltzaf0915&amp;R&amp;12&amp;F, &amp;D</oddFooter>
  </headerFooter>
  <rowBreaks count="1" manualBreakCount="1">
    <brk id="56" max="1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showGridLines="0" workbookViewId="0">
      <selection activeCell="C9" sqref="C9"/>
    </sheetView>
  </sheetViews>
  <sheetFormatPr baseColWidth="10" defaultColWidth="11.44140625" defaultRowHeight="13.2" x14ac:dyDescent="0.25"/>
  <cols>
    <col min="1" max="1" width="8.33203125" style="17" customWidth="1"/>
    <col min="2" max="2" width="9.6640625" style="18" customWidth="1"/>
    <col min="3" max="3" width="8.6640625" style="21" customWidth="1"/>
    <col min="4" max="4" width="8.6640625" style="18" customWidth="1"/>
    <col min="5" max="5" width="5.109375" style="19" customWidth="1"/>
    <col min="6" max="6" width="1.44140625" style="19" customWidth="1"/>
    <col min="7" max="7" width="5.5546875" style="19" customWidth="1"/>
    <col min="8" max="10" width="9.6640625" style="18" customWidth="1"/>
    <col min="11" max="11" width="9.6640625" style="20" customWidth="1"/>
    <col min="12" max="13" width="8.6640625" style="21" customWidth="1"/>
    <col min="14" max="15" width="9.6640625" style="21" customWidth="1"/>
    <col min="16" max="16384" width="11.44140625" style="21"/>
  </cols>
  <sheetData>
    <row r="1" spans="1:20" ht="17.399999999999999" x14ac:dyDescent="0.3">
      <c r="B1" s="30" t="str">
        <f>Info!B1</f>
        <v>Cría-Recría</v>
      </c>
      <c r="D1" s="30"/>
      <c r="E1" s="30" t="str">
        <f>Info!E1</f>
        <v>LOHMANN BROWN Classic Ponedoras</v>
      </c>
      <c r="F1" s="117"/>
      <c r="G1" s="117"/>
    </row>
    <row r="2" spans="1:20" x14ac:dyDescent="0.25">
      <c r="E2" s="117"/>
      <c r="F2" s="117"/>
      <c r="G2" s="117"/>
    </row>
    <row r="3" spans="1:20" ht="15.6" x14ac:dyDescent="0.3">
      <c r="A3" s="6" t="str">
        <f>Traducción!B8</f>
        <v>País:</v>
      </c>
      <c r="B3"/>
      <c r="C3" s="407">
        <f>Info!B3</f>
        <v>0</v>
      </c>
      <c r="D3" s="408"/>
      <c r="E3" s="408"/>
      <c r="F3" s="408"/>
      <c r="G3" s="409"/>
      <c r="H3" s="24" t="str">
        <f>Traducción!B12</f>
        <v>Fecha de Nacimiento:</v>
      </c>
      <c r="I3" s="21"/>
      <c r="J3" s="25"/>
      <c r="K3"/>
      <c r="L3" s="405">
        <f>Info!J3</f>
        <v>0</v>
      </c>
      <c r="M3" s="406"/>
      <c r="N3" s="396"/>
    </row>
    <row r="4" spans="1:20" ht="15.6" x14ac:dyDescent="0.3">
      <c r="A4" s="6" t="str">
        <f>Traducción!B9</f>
        <v>Proprietario:</v>
      </c>
      <c r="B4"/>
      <c r="C4" s="407">
        <f>Info!B4</f>
        <v>0</v>
      </c>
      <c r="D4" s="408"/>
      <c r="E4" s="408"/>
      <c r="F4" s="408"/>
      <c r="G4" s="409"/>
      <c r="H4" s="24" t="str">
        <f>Traducción!B13</f>
        <v>Fecha de Alojamiento:</v>
      </c>
      <c r="I4" s="21"/>
      <c r="J4" s="25"/>
      <c r="K4"/>
      <c r="L4" s="405">
        <f>Info!J4</f>
        <v>0</v>
      </c>
      <c r="M4" s="406"/>
      <c r="N4" s="396"/>
    </row>
    <row r="5" spans="1:20" ht="15.6" x14ac:dyDescent="0.3">
      <c r="A5" s="6" t="str">
        <f>Traducción!B10</f>
        <v>Granja:</v>
      </c>
      <c r="B5"/>
      <c r="C5" s="407">
        <f>Info!B5</f>
        <v>0</v>
      </c>
      <c r="D5" s="408"/>
      <c r="E5" s="408"/>
      <c r="F5" s="408"/>
      <c r="G5" s="409"/>
      <c r="H5" s="24" t="str">
        <f>Traducción!B14</f>
        <v>No. de Aves Alojadas:</v>
      </c>
      <c r="I5" s="21"/>
      <c r="J5" s="25"/>
      <c r="K5"/>
      <c r="L5" s="23">
        <f>Info!J5</f>
        <v>0</v>
      </c>
      <c r="M5" s="91"/>
      <c r="N5" s="93"/>
    </row>
    <row r="6" spans="1:20" ht="15.6" x14ac:dyDescent="0.3">
      <c r="A6" s="6" t="str">
        <f>Traducción!B11</f>
        <v>Lote:</v>
      </c>
      <c r="B6"/>
      <c r="C6" s="407">
        <f>Info!B6</f>
        <v>0</v>
      </c>
      <c r="D6" s="408"/>
      <c r="E6" s="408"/>
      <c r="F6" s="408"/>
      <c r="G6" s="409"/>
      <c r="H6" s="24"/>
      <c r="K6" s="18"/>
    </row>
    <row r="7" spans="1:20" x14ac:dyDescent="0.25">
      <c r="B7" s="21"/>
      <c r="C7" s="18"/>
      <c r="E7" s="118"/>
      <c r="F7" s="118"/>
      <c r="G7" s="118"/>
    </row>
    <row r="8" spans="1:20" s="26" customFormat="1" ht="39.6" x14ac:dyDescent="0.25">
      <c r="A8" s="227" t="str">
        <f>Traducción!B20</f>
        <v>Fecha</v>
      </c>
      <c r="B8" s="227" t="str">
        <f>Traducción!B22</f>
        <v>Sem.   de vida</v>
      </c>
      <c r="C8" s="227" t="str">
        <f>Traducción!B38</f>
        <v>No. de Aves</v>
      </c>
      <c r="D8" s="379" t="str">
        <f>Traducción!B39</f>
        <v>Mort. (%)</v>
      </c>
      <c r="E8" s="402" t="str">
        <f>Traducción!B40</f>
        <v>Peso Estándar (g)</v>
      </c>
      <c r="F8" s="403"/>
      <c r="G8" s="404"/>
      <c r="H8" s="380" t="str">
        <f>Traducción!B41</f>
        <v>Peso Real (g)</v>
      </c>
      <c r="I8" s="380" t="str">
        <f>Traducción!B42</f>
        <v>Consumo Estándar (g)</v>
      </c>
      <c r="J8" s="380" t="str">
        <f>Traducción!B43</f>
        <v>Consumo Real (g/ave/d)</v>
      </c>
      <c r="K8" s="339" t="str">
        <f>Traducción!B45</f>
        <v>Cons. Agua Real (ml/ave/d)</v>
      </c>
      <c r="L8" s="380" t="str">
        <f>Traducción!B46</f>
        <v>Agua / Pienso</v>
      </c>
      <c r="M8" s="379" t="str">
        <f>Traducción!B35</f>
        <v>Uniform.  (%)</v>
      </c>
      <c r="N8" s="15" t="str">
        <f>'Entrada Recría (semanal)'!K2</f>
        <v>Otro parám.</v>
      </c>
      <c r="O8" s="15" t="str">
        <f>'Entrada Recría (semanal)'!L2</f>
        <v>Otro parám.</v>
      </c>
      <c r="S8" s="347" t="s">
        <v>119</v>
      </c>
      <c r="T8" s="347" t="s">
        <v>120</v>
      </c>
    </row>
    <row r="9" spans="1:20" s="17" customFormat="1" x14ac:dyDescent="0.25">
      <c r="A9" s="216">
        <f>'Entrada Recría (diario)'!$A$9</f>
        <v>0</v>
      </c>
      <c r="B9" s="190">
        <v>1</v>
      </c>
      <c r="C9" s="233">
        <f t="array" ref="C9">IF(SUM('Entrada Recría (semanal)'!$C$3:$C$22)&gt;0,$L$5-SUM('Entrada Recría (semanal)'!C$3:C3),IF(SUM('Entrada Recría (semanal)'!$D$3:$D$22)&gt;0,$L$5-(SUM('Entrada Recría (semanal)'!$D$3:D3)/100*$L$5),$L$5 ))</f>
        <v>0</v>
      </c>
      <c r="D9" s="234">
        <f>IF($L$5&gt;0,100-C9/$L$5*100, )</f>
        <v>0</v>
      </c>
      <c r="E9" s="119">
        <v>72.75</v>
      </c>
      <c r="F9" s="120" t="s">
        <v>1</v>
      </c>
      <c r="G9" s="116">
        <v>77.25</v>
      </c>
      <c r="H9" s="14">
        <f>IF(ISNUMBER('Entrada Recría (semanal)'!E3),'Entrada Recría (semanal)'!E3,"")</f>
        <v>0</v>
      </c>
      <c r="I9" s="89">
        <v>11</v>
      </c>
      <c r="J9" s="235">
        <f t="array" ref="J9">IF('Entrada Recría (semanal)'!G3&gt;0,'Entrada Recría (semanal)'!G3,IF('Entrada Recría (semanal)'!F3&gt;0,'Entrada Recría (semanal)'!F3*1000/7/C9, ))</f>
        <v>0</v>
      </c>
      <c r="K9" s="235">
        <f t="array" ref="K9">IF('Entrada Recría (semanal)'!I3&gt;0,'Entrada Recría (semanal)'!I3,IF('Entrada Recría (semanal)'!H3&gt;0,'Entrada Recría (semanal)'!H3*1000/7/C9, ))</f>
        <v>0</v>
      </c>
      <c r="L9" s="16">
        <f t="shared" ref="L9:L28" si="0">IF(J9&gt;0,IF(K9&gt;0,K9/J9, ), )</f>
        <v>0</v>
      </c>
      <c r="M9" s="14">
        <f>IF(ISNUMBER('Entrada Recría (semanal)'!J3),'Entrada Recría (semanal)'!J3,"")</f>
        <v>0</v>
      </c>
      <c r="N9" s="14">
        <f>IF(ISNUMBER('Entrada Recría (semanal)'!K3),'Entrada Recría (semanal)'!K3,"")</f>
        <v>0</v>
      </c>
      <c r="O9" s="14">
        <f>IF(ISNUMBER('Entrada Recría (semanal)'!L3),'Entrada Recría (semanal)'!L3,"")</f>
        <v>0</v>
      </c>
      <c r="P9" s="121">
        <f>IF(E9&gt;0,E9,S9)</f>
        <v>72.75</v>
      </c>
      <c r="Q9" s="122">
        <f>IF(G9&gt;0,G9,T9)</f>
        <v>77.25</v>
      </c>
      <c r="R9" s="27">
        <f t="shared" ref="R9:R28" si="1">Q9-P9</f>
        <v>4.5</v>
      </c>
      <c r="S9" s="383">
        <v>72.75</v>
      </c>
      <c r="T9" s="383">
        <v>77.25</v>
      </c>
    </row>
    <row r="10" spans="1:20" s="17" customFormat="1" x14ac:dyDescent="0.25">
      <c r="A10" s="216">
        <f>'Entrada Recría (diario)'!$A$17</f>
        <v>0</v>
      </c>
      <c r="B10" s="190">
        <v>2</v>
      </c>
      <c r="C10" s="233">
        <f t="array" ref="C10">IF(SUM('Entrada Recría (semanal)'!$C$3:$C$22)&gt;0,$L$5-SUM('Entrada Recría (semanal)'!C$3:C4),IF(SUM('Entrada Recría (semanal)'!$D$3:$D$22)&gt;0,$L$5-(SUM('Entrada Recría (semanal)'!$D$3:D4)/100*$L$5),$L$5 ))</f>
        <v>0</v>
      </c>
      <c r="D10" s="234">
        <f t="shared" ref="D10:D28" si="2">IF($L$5&gt;0,100-C10/$L$5*100, )</f>
        <v>0</v>
      </c>
      <c r="E10" s="119">
        <v>126.1</v>
      </c>
      <c r="F10" s="120" t="s">
        <v>1</v>
      </c>
      <c r="G10" s="116">
        <v>133.9</v>
      </c>
      <c r="H10" s="73">
        <f>IF(ISNUMBER('Entrada Recría (semanal)'!E4),'Entrada Recría (semanal)'!E4,"")</f>
        <v>0</v>
      </c>
      <c r="I10" s="89">
        <v>17</v>
      </c>
      <c r="J10" s="235">
        <f t="array" ref="J10">IF('Entrada Recría (semanal)'!G4&gt;0,'Entrada Recría (semanal)'!G4,IF('Entrada Recría (semanal)'!F4&gt;0,'Entrada Recría (semanal)'!F4*1000/7/C10, ))</f>
        <v>0</v>
      </c>
      <c r="K10" s="235">
        <f t="array" ref="K10">IF('Entrada Recría (semanal)'!I4&gt;0,'Entrada Recría (semanal)'!I4,IF('Entrada Recría (semanal)'!H4&gt;0,'Entrada Recría (semanal)'!H4*1000/7/C10, ))</f>
        <v>0</v>
      </c>
      <c r="L10" s="16">
        <f t="shared" si="0"/>
        <v>0</v>
      </c>
      <c r="M10" s="14">
        <f>IF(ISNUMBER('Entrada Recría (semanal)'!J4),'Entrada Recría (semanal)'!J4,"")</f>
        <v>0</v>
      </c>
      <c r="N10" s="172">
        <f>IF(ISNUMBER('Entrada Recría (semanal)'!K4),'Entrada Recría (semanal)'!K4,"")</f>
        <v>0</v>
      </c>
      <c r="O10" s="172">
        <f>IF(ISNUMBER('Entrada Recría (semanal)'!L4),'Entrada Recría (semanal)'!L4,"")</f>
        <v>0</v>
      </c>
      <c r="P10" s="121">
        <f t="shared" ref="P10:P28" si="3">IF(E10&gt;0,E10,S10)</f>
        <v>126.1</v>
      </c>
      <c r="Q10" s="122">
        <f t="shared" ref="Q10:Q28" si="4">IF(G10&gt;0,G10,T10)</f>
        <v>133.9</v>
      </c>
      <c r="R10" s="27">
        <f t="shared" si="1"/>
        <v>7.8000000000000114</v>
      </c>
      <c r="S10" s="383">
        <v>126.1</v>
      </c>
      <c r="T10" s="383">
        <v>133.9</v>
      </c>
    </row>
    <row r="11" spans="1:20" s="17" customFormat="1" x14ac:dyDescent="0.25">
      <c r="A11" s="216">
        <f>'Entrada Recría (diario)'!$A$25</f>
        <v>0</v>
      </c>
      <c r="B11" s="190">
        <v>3</v>
      </c>
      <c r="C11" s="233">
        <f t="array" ref="C11">IF(SUM('Entrada Recría (semanal)'!$C$3:$C$22)&gt;0,$L$5-SUM('Entrada Recría (semanal)'!C$3:C5),IF(SUM('Entrada Recría (semanal)'!$D$3:$D$22)&gt;0,$L$5-(SUM('Entrada Recría (semanal)'!$D$3:D5)/100*$L$5),$L$5 ))</f>
        <v>0</v>
      </c>
      <c r="D11" s="234">
        <f t="shared" si="2"/>
        <v>0</v>
      </c>
      <c r="E11" s="119">
        <v>189.15</v>
      </c>
      <c r="F11" s="120" t="s">
        <v>1</v>
      </c>
      <c r="G11" s="116">
        <v>200.85</v>
      </c>
      <c r="H11" s="73">
        <f>IF(ISNUMBER('Entrada Recría (semanal)'!E5),'Entrada Recría (semanal)'!E5,"")</f>
        <v>0</v>
      </c>
      <c r="I11" s="89">
        <v>22</v>
      </c>
      <c r="J11" s="235">
        <f t="array" ref="J11">IF('Entrada Recría (semanal)'!G5&gt;0,'Entrada Recría (semanal)'!G5,IF('Entrada Recría (semanal)'!F5&gt;0,'Entrada Recría (semanal)'!F5*1000/7/C11, ))</f>
        <v>0</v>
      </c>
      <c r="K11" s="235">
        <f t="array" ref="K11">IF('Entrada Recría (semanal)'!I5&gt;0,'Entrada Recría (semanal)'!I5,IF('Entrada Recría (semanal)'!H5&gt;0,'Entrada Recría (semanal)'!H5*1000/7/C11, ))</f>
        <v>0</v>
      </c>
      <c r="L11" s="16">
        <f t="shared" si="0"/>
        <v>0</v>
      </c>
      <c r="M11" s="14">
        <f>IF(ISNUMBER('Entrada Recría (semanal)'!J5),'Entrada Recría (semanal)'!J5,"")</f>
        <v>0</v>
      </c>
      <c r="N11" s="172">
        <f>IF(ISNUMBER('Entrada Recría (semanal)'!K5),'Entrada Recría (semanal)'!K5,"")</f>
        <v>0</v>
      </c>
      <c r="O11" s="172">
        <f>IF(ISNUMBER('Entrada Recría (semanal)'!L5),'Entrada Recría (semanal)'!L5,"")</f>
        <v>0</v>
      </c>
      <c r="P11" s="121">
        <f t="shared" si="3"/>
        <v>189.15</v>
      </c>
      <c r="Q11" s="122">
        <f t="shared" si="4"/>
        <v>200.85</v>
      </c>
      <c r="R11" s="27">
        <f t="shared" si="1"/>
        <v>11.699999999999989</v>
      </c>
      <c r="S11" s="383">
        <v>189.15</v>
      </c>
      <c r="T11" s="383">
        <v>200.85</v>
      </c>
    </row>
    <row r="12" spans="1:20" s="17" customFormat="1" x14ac:dyDescent="0.25">
      <c r="A12" s="216">
        <f>'Entrada Recría (diario)'!$A$33</f>
        <v>0</v>
      </c>
      <c r="B12" s="190">
        <v>4</v>
      </c>
      <c r="C12" s="233">
        <f t="array" ref="C12">IF(SUM('Entrada Recría (semanal)'!$C$3:$C$22)&gt;0,$L$5-SUM('Entrada Recría (semanal)'!C$3:C6),IF(SUM('Entrada Recría (semanal)'!$D$3:$D$22)&gt;0,$L$5-(SUM('Entrada Recría (semanal)'!$D$3:D6)/100*$L$5),$L$5 ))</f>
        <v>0</v>
      </c>
      <c r="D12" s="234">
        <f t="shared" si="2"/>
        <v>0</v>
      </c>
      <c r="E12" s="119">
        <v>266.75</v>
      </c>
      <c r="F12" s="120" t="s">
        <v>1</v>
      </c>
      <c r="G12" s="116">
        <v>283.25</v>
      </c>
      <c r="H12" s="73">
        <f>IF(ISNUMBER('Entrada Recría (semanal)'!E6),'Entrada Recría (semanal)'!E6,"")</f>
        <v>0</v>
      </c>
      <c r="I12" s="89">
        <v>28</v>
      </c>
      <c r="J12" s="235">
        <f t="array" ref="J12">IF('Entrada Recría (semanal)'!G6&gt;0,'Entrada Recría (semanal)'!G6,IF('Entrada Recría (semanal)'!F6&gt;0,'Entrada Recría (semanal)'!F6*1000/7/C12, ))</f>
        <v>0</v>
      </c>
      <c r="K12" s="235">
        <f t="array" ref="K12">IF('Entrada Recría (semanal)'!I6&gt;0,'Entrada Recría (semanal)'!I6,IF('Entrada Recría (semanal)'!H6&gt;0,'Entrada Recría (semanal)'!H6*1000/7/C12, ))</f>
        <v>0</v>
      </c>
      <c r="L12" s="16">
        <f t="shared" si="0"/>
        <v>0</v>
      </c>
      <c r="M12" s="14">
        <f>IF(ISNUMBER('Entrada Recría (semanal)'!J6),'Entrada Recría (semanal)'!J6,"")</f>
        <v>0</v>
      </c>
      <c r="N12" s="172">
        <f>IF(ISNUMBER('Entrada Recría (semanal)'!K6),'Entrada Recría (semanal)'!K6,"")</f>
        <v>0</v>
      </c>
      <c r="O12" s="172">
        <f>IF(ISNUMBER('Entrada Recría (semanal)'!L6),'Entrada Recría (semanal)'!L6,"")</f>
        <v>0</v>
      </c>
      <c r="P12" s="121">
        <f t="shared" si="3"/>
        <v>266.75</v>
      </c>
      <c r="Q12" s="122">
        <f t="shared" si="4"/>
        <v>283.25</v>
      </c>
      <c r="R12" s="27">
        <f t="shared" si="1"/>
        <v>16.5</v>
      </c>
      <c r="S12" s="383">
        <v>266.75</v>
      </c>
      <c r="T12" s="383">
        <v>283.25</v>
      </c>
    </row>
    <row r="13" spans="1:20" s="17" customFormat="1" x14ac:dyDescent="0.25">
      <c r="A13" s="216">
        <f>'Entrada Recría (diario)'!$A$41</f>
        <v>0</v>
      </c>
      <c r="B13" s="190">
        <v>5</v>
      </c>
      <c r="C13" s="233">
        <f t="array" ref="C13">IF(SUM('Entrada Recría (semanal)'!$C$3:$C$22)&gt;0,$L$5-SUM('Entrada Recría (semanal)'!C$3:C7),IF(SUM('Entrada Recría (semanal)'!$D$3:$D$22)&gt;0,$L$5-(SUM('Entrada Recría (semanal)'!$D$3:D7)/100*$L$5),$L$5 ))</f>
        <v>0</v>
      </c>
      <c r="D13" s="234">
        <f t="shared" si="2"/>
        <v>0</v>
      </c>
      <c r="E13" s="119">
        <v>355.99</v>
      </c>
      <c r="F13" s="120" t="s">
        <v>1</v>
      </c>
      <c r="G13" s="116">
        <v>378.01</v>
      </c>
      <c r="H13" s="73">
        <f>IF(ISNUMBER('Entrada Recría (semanal)'!E7),'Entrada Recría (semanal)'!E7,"")</f>
        <v>0</v>
      </c>
      <c r="I13" s="89">
        <v>35</v>
      </c>
      <c r="J13" s="235">
        <f t="array" ref="J13">IF('Entrada Recría (semanal)'!G7&gt;0,'Entrada Recría (semanal)'!G7,IF('Entrada Recría (semanal)'!F7&gt;0,'Entrada Recría (semanal)'!F7*1000/7/C13, ))</f>
        <v>0</v>
      </c>
      <c r="K13" s="235">
        <f t="array" ref="K13">IF('Entrada Recría (semanal)'!I7&gt;0,'Entrada Recría (semanal)'!I7,IF('Entrada Recría (semanal)'!H7&gt;0,'Entrada Recría (semanal)'!H7*1000/7/C13, ))</f>
        <v>0</v>
      </c>
      <c r="L13" s="16">
        <f t="shared" si="0"/>
        <v>0</v>
      </c>
      <c r="M13" s="14">
        <f>IF(ISNUMBER('Entrada Recría (semanal)'!J7),'Entrada Recría (semanal)'!J7,"")</f>
        <v>0</v>
      </c>
      <c r="N13" s="172">
        <f>IF(ISNUMBER('Entrada Recría (semanal)'!K7),'Entrada Recría (semanal)'!K7,"")</f>
        <v>0</v>
      </c>
      <c r="O13" s="172">
        <f>IF(ISNUMBER('Entrada Recría (semanal)'!L7),'Entrada Recría (semanal)'!L7,"")</f>
        <v>0</v>
      </c>
      <c r="P13" s="121">
        <f t="shared" si="3"/>
        <v>355.99</v>
      </c>
      <c r="Q13" s="122">
        <f t="shared" si="4"/>
        <v>378.01</v>
      </c>
      <c r="R13" s="27">
        <f t="shared" si="1"/>
        <v>22.019999999999982</v>
      </c>
      <c r="S13" s="383">
        <v>355.99</v>
      </c>
      <c r="T13" s="383">
        <v>378.01</v>
      </c>
    </row>
    <row r="14" spans="1:20" s="17" customFormat="1" x14ac:dyDescent="0.25">
      <c r="A14" s="216">
        <f>'Entrada Recría (diario)'!$A$49</f>
        <v>0</v>
      </c>
      <c r="B14" s="190">
        <v>6</v>
      </c>
      <c r="C14" s="233">
        <f t="array" ref="C14">IF(SUM('Entrada Recría (semanal)'!$C$3:$C$22)&gt;0,$L$5-SUM('Entrada Recría (semanal)'!C$3:C8),IF(SUM('Entrada Recría (semanal)'!$D$3:$D$22)&gt;0,$L$5-(SUM('Entrada Recría (semanal)'!$D$3:D8)/100*$L$5),$L$5 ))</f>
        <v>0</v>
      </c>
      <c r="D14" s="234">
        <f t="shared" si="2"/>
        <v>0</v>
      </c>
      <c r="E14" s="119">
        <v>460.75</v>
      </c>
      <c r="F14" s="120" t="s">
        <v>1</v>
      </c>
      <c r="G14" s="116">
        <v>489.25</v>
      </c>
      <c r="H14" s="73">
        <f>IF(ISNUMBER('Entrada Recría (semanal)'!E8),'Entrada Recría (semanal)'!E8,"")</f>
        <v>0</v>
      </c>
      <c r="I14" s="89">
        <v>41</v>
      </c>
      <c r="J14" s="235">
        <f t="array" ref="J14">IF('Entrada Recría (semanal)'!G8&gt;0,'Entrada Recría (semanal)'!G8,IF('Entrada Recría (semanal)'!F8&gt;0,'Entrada Recría (semanal)'!F8*1000/7/C14, ))</f>
        <v>0</v>
      </c>
      <c r="K14" s="235">
        <f t="array" ref="K14">IF('Entrada Recría (semanal)'!I8&gt;0,'Entrada Recría (semanal)'!I8,IF('Entrada Recría (semanal)'!H8&gt;0,'Entrada Recría (semanal)'!H8*1000/7/C14, ))</f>
        <v>0</v>
      </c>
      <c r="L14" s="16">
        <f t="shared" si="0"/>
        <v>0</v>
      </c>
      <c r="M14" s="14">
        <f>IF(ISNUMBER('Entrada Recría (semanal)'!J8),'Entrada Recría (semanal)'!J8,"")</f>
        <v>0</v>
      </c>
      <c r="N14" s="172">
        <f>IF(ISNUMBER('Entrada Recría (semanal)'!K8),'Entrada Recría (semanal)'!K8,"")</f>
        <v>0</v>
      </c>
      <c r="O14" s="172">
        <f>IF(ISNUMBER('Entrada Recría (semanal)'!L8),'Entrada Recría (semanal)'!L8,"")</f>
        <v>0</v>
      </c>
      <c r="P14" s="121">
        <f t="shared" si="3"/>
        <v>460.75</v>
      </c>
      <c r="Q14" s="122">
        <f t="shared" si="4"/>
        <v>489.25</v>
      </c>
      <c r="R14" s="27">
        <f t="shared" si="1"/>
        <v>28.5</v>
      </c>
      <c r="S14" s="383">
        <v>460.75</v>
      </c>
      <c r="T14" s="383">
        <v>489.25</v>
      </c>
    </row>
    <row r="15" spans="1:20" x14ac:dyDescent="0.25">
      <c r="A15" s="216">
        <f>'Entrada Recría (diario)'!$A$57</f>
        <v>0</v>
      </c>
      <c r="B15" s="190">
        <v>7</v>
      </c>
      <c r="C15" s="233">
        <f t="array" ref="C15">IF(SUM('Entrada Recría (semanal)'!$C$3:$C$22)&gt;0,$L$5-SUM('Entrada Recría (semanal)'!C$3:C9),IF(SUM('Entrada Recría (semanal)'!$D$3:$D$22)&gt;0,$L$5-(SUM('Entrada Recría (semanal)'!$D$3:D9)/100*$L$5),$L$5 ))</f>
        <v>0</v>
      </c>
      <c r="D15" s="234">
        <f t="shared" si="2"/>
        <v>0</v>
      </c>
      <c r="E15" s="119">
        <v>565.51</v>
      </c>
      <c r="F15" s="120" t="s">
        <v>1</v>
      </c>
      <c r="G15" s="116">
        <v>600.49</v>
      </c>
      <c r="H15" s="73">
        <f>IF(ISNUMBER('Entrada Recría (semanal)'!E9),'Entrada Recría (semanal)'!E9,"")</f>
        <v>0</v>
      </c>
      <c r="I15" s="90">
        <v>47</v>
      </c>
      <c r="J15" s="235">
        <f t="array" ref="J15">IF('Entrada Recría (semanal)'!G9&gt;0,'Entrada Recría (semanal)'!G9,IF('Entrada Recría (semanal)'!F9&gt;0,'Entrada Recría (semanal)'!F9*1000/7/C15, ))</f>
        <v>0</v>
      </c>
      <c r="K15" s="235">
        <f t="array" ref="K15">IF('Entrada Recría (semanal)'!I9&gt;0,'Entrada Recría (semanal)'!I9,IF('Entrada Recría (semanal)'!H9&gt;0,'Entrada Recría (semanal)'!H9*1000/7/C15, ))</f>
        <v>0</v>
      </c>
      <c r="L15" s="16">
        <f t="shared" si="0"/>
        <v>0</v>
      </c>
      <c r="M15" s="14">
        <f>IF(ISNUMBER('Entrada Recría (semanal)'!J9),'Entrada Recría (semanal)'!J9,"")</f>
        <v>0</v>
      </c>
      <c r="N15" s="172">
        <f>IF(ISNUMBER('Entrada Recría (semanal)'!K9),'Entrada Recría (semanal)'!K9,"")</f>
        <v>0</v>
      </c>
      <c r="O15" s="172">
        <f>IF(ISNUMBER('Entrada Recría (semanal)'!L9),'Entrada Recría (semanal)'!L9,"")</f>
        <v>0</v>
      </c>
      <c r="P15" s="121">
        <f t="shared" si="3"/>
        <v>565.51</v>
      </c>
      <c r="Q15" s="122">
        <f t="shared" si="4"/>
        <v>600.49</v>
      </c>
      <c r="R15" s="27">
        <f t="shared" si="1"/>
        <v>34.980000000000018</v>
      </c>
      <c r="S15" s="383">
        <v>565.51</v>
      </c>
      <c r="T15" s="383">
        <v>600.49</v>
      </c>
    </row>
    <row r="16" spans="1:20" x14ac:dyDescent="0.25">
      <c r="A16" s="216">
        <f>'Entrada Recría (diario)'!$A$65</f>
        <v>0</v>
      </c>
      <c r="B16" s="190">
        <v>8</v>
      </c>
      <c r="C16" s="233">
        <f t="array" ref="C16">IF(SUM('Entrada Recría (semanal)'!$C$3:$C$22)&gt;0,$L$5-SUM('Entrada Recría (semanal)'!C$3:C10),IF(SUM('Entrada Recría (semanal)'!$D$3:$D$22)&gt;0,$L$5-(SUM('Entrada Recría (semanal)'!$D$3:D10)/100*$L$5),$L$5 ))</f>
        <v>0</v>
      </c>
      <c r="D16" s="234">
        <f t="shared" si="2"/>
        <v>0</v>
      </c>
      <c r="E16" s="119">
        <v>664.45</v>
      </c>
      <c r="F16" s="120" t="s">
        <v>1</v>
      </c>
      <c r="G16" s="116">
        <v>705.55</v>
      </c>
      <c r="H16" s="73">
        <f>IF(ISNUMBER('Entrada Recría (semanal)'!E10),'Entrada Recría (semanal)'!E10,"")</f>
        <v>0</v>
      </c>
      <c r="I16" s="90">
        <v>51</v>
      </c>
      <c r="J16" s="235">
        <f t="array" ref="J16">IF('Entrada Recría (semanal)'!G10&gt;0,'Entrada Recría (semanal)'!G10,IF('Entrada Recría (semanal)'!F10&gt;0,'Entrada Recría (semanal)'!F10*1000/7/C16, ))</f>
        <v>0</v>
      </c>
      <c r="K16" s="235">
        <f t="array" ref="K16">IF('Entrada Recría (semanal)'!I10&gt;0,'Entrada Recría (semanal)'!I10,IF('Entrada Recría (semanal)'!H10&gt;0,'Entrada Recría (semanal)'!H10*1000/7/C16, ))</f>
        <v>0</v>
      </c>
      <c r="L16" s="16">
        <f t="shared" si="0"/>
        <v>0</v>
      </c>
      <c r="M16" s="14">
        <f>IF(ISNUMBER('Entrada Recría (semanal)'!J10),'Entrada Recría (semanal)'!J10,"")</f>
        <v>0</v>
      </c>
      <c r="N16" s="172">
        <f>IF(ISNUMBER('Entrada Recría (semanal)'!K10),'Entrada Recría (semanal)'!K10,"")</f>
        <v>0</v>
      </c>
      <c r="O16" s="172">
        <f>IF(ISNUMBER('Entrada Recría (semanal)'!L10),'Entrada Recría (semanal)'!L10,"")</f>
        <v>0</v>
      </c>
      <c r="P16" s="121">
        <f t="shared" si="3"/>
        <v>664.45</v>
      </c>
      <c r="Q16" s="122">
        <f t="shared" si="4"/>
        <v>705.55</v>
      </c>
      <c r="R16" s="27">
        <f t="shared" si="1"/>
        <v>41.099999999999909</v>
      </c>
      <c r="S16" s="383">
        <v>664.45</v>
      </c>
      <c r="T16" s="383">
        <v>705.55</v>
      </c>
    </row>
    <row r="17" spans="1:20" x14ac:dyDescent="0.25">
      <c r="A17" s="216">
        <f>'Entrada Recría (diario)'!$A$73</f>
        <v>0</v>
      </c>
      <c r="B17" s="190">
        <v>9</v>
      </c>
      <c r="C17" s="233">
        <f t="array" ref="C17">IF(SUM('Entrada Recría (semanal)'!$C$3:$C$22)&gt;0,$L$5-SUM('Entrada Recría (semanal)'!C$3:C11),IF(SUM('Entrada Recría (semanal)'!$D$3:$D$22)&gt;0,$L$5-(SUM('Entrada Recría (semanal)'!$D$3:D11)/100*$L$5),$L$5 ))</f>
        <v>0</v>
      </c>
      <c r="D17" s="234">
        <f t="shared" si="2"/>
        <v>0</v>
      </c>
      <c r="E17" s="119">
        <v>758.54</v>
      </c>
      <c r="F17" s="120" t="s">
        <v>1</v>
      </c>
      <c r="G17" s="116">
        <v>805.46</v>
      </c>
      <c r="H17" s="73">
        <f>IF(ISNUMBER('Entrada Recría (semanal)'!E11),'Entrada Recría (semanal)'!E11,"")</f>
        <v>0</v>
      </c>
      <c r="I17" s="90">
        <v>55</v>
      </c>
      <c r="J17" s="235">
        <f t="array" ref="J17">IF('Entrada Recría (semanal)'!G11&gt;0,'Entrada Recría (semanal)'!G11,IF('Entrada Recría (semanal)'!F11&gt;0,'Entrada Recría (semanal)'!F11*1000/7/C17, ))</f>
        <v>0</v>
      </c>
      <c r="K17" s="235">
        <f t="array" ref="K17">IF('Entrada Recría (semanal)'!I11&gt;0,'Entrada Recría (semanal)'!I11,IF('Entrada Recría (semanal)'!H11&gt;0,'Entrada Recría (semanal)'!H11*1000/7/C17, ))</f>
        <v>0</v>
      </c>
      <c r="L17" s="16">
        <f t="shared" si="0"/>
        <v>0</v>
      </c>
      <c r="M17" s="14">
        <f>IF(ISNUMBER('Entrada Recría (semanal)'!J11),'Entrada Recría (semanal)'!J11,"")</f>
        <v>0</v>
      </c>
      <c r="N17" s="172">
        <f>IF(ISNUMBER('Entrada Recría (semanal)'!K11),'Entrada Recría (semanal)'!K11,"")</f>
        <v>0</v>
      </c>
      <c r="O17" s="172">
        <f>IF(ISNUMBER('Entrada Recría (semanal)'!L11),'Entrada Recría (semanal)'!L11,"")</f>
        <v>0</v>
      </c>
      <c r="P17" s="121">
        <f t="shared" si="3"/>
        <v>758.54</v>
      </c>
      <c r="Q17" s="122">
        <f t="shared" si="4"/>
        <v>805.46</v>
      </c>
      <c r="R17" s="27">
        <f t="shared" si="1"/>
        <v>46.920000000000073</v>
      </c>
      <c r="S17" s="383">
        <v>758.54</v>
      </c>
      <c r="T17" s="383">
        <v>805.46</v>
      </c>
    </row>
    <row r="18" spans="1:20" x14ac:dyDescent="0.25">
      <c r="A18" s="216">
        <f>'Entrada Recría (diario)'!$A$81</f>
        <v>0</v>
      </c>
      <c r="B18" s="190">
        <v>10</v>
      </c>
      <c r="C18" s="233">
        <f t="array" ref="C18">IF(SUM('Entrada Recría (semanal)'!$C$3:$C$22)&gt;0,$L$5-SUM('Entrada Recría (semanal)'!C$3:C12),IF(SUM('Entrada Recría (semanal)'!$D$3:$D$22)&gt;0,$L$5-(SUM('Entrada Recría (semanal)'!$D$3:D12)/100*$L$5),$L$5 ))</f>
        <v>0</v>
      </c>
      <c r="D18" s="234">
        <f t="shared" si="2"/>
        <v>0</v>
      </c>
      <c r="E18" s="119">
        <v>847.78</v>
      </c>
      <c r="F18" s="120" t="s">
        <v>1</v>
      </c>
      <c r="G18" s="116">
        <v>900.22</v>
      </c>
      <c r="H18" s="73">
        <f>IF(ISNUMBER('Entrada Recría (semanal)'!E12),'Entrada Recría (semanal)'!E12,"")</f>
        <v>0</v>
      </c>
      <c r="I18" s="90">
        <v>58</v>
      </c>
      <c r="J18" s="235">
        <f t="array" ref="J18">IF('Entrada Recría (semanal)'!G12&gt;0,'Entrada Recría (semanal)'!G12,IF('Entrada Recría (semanal)'!F12&gt;0,'Entrada Recría (semanal)'!F12*1000/7/C18, ))</f>
        <v>0</v>
      </c>
      <c r="K18" s="235">
        <f t="array" ref="K18">IF('Entrada Recría (semanal)'!I12&gt;0,'Entrada Recría (semanal)'!I12,IF('Entrada Recría (semanal)'!H12&gt;0,'Entrada Recría (semanal)'!H12*1000/7/C18, ))</f>
        <v>0</v>
      </c>
      <c r="L18" s="16">
        <f t="shared" si="0"/>
        <v>0</v>
      </c>
      <c r="M18" s="14">
        <f>IF(ISNUMBER('Entrada Recría (semanal)'!J12),'Entrada Recría (semanal)'!J12,"")</f>
        <v>0</v>
      </c>
      <c r="N18" s="172">
        <f>IF(ISNUMBER('Entrada Recría (semanal)'!K12),'Entrada Recría (semanal)'!K12,"")</f>
        <v>0</v>
      </c>
      <c r="O18" s="172">
        <f>IF(ISNUMBER('Entrada Recría (semanal)'!L12),'Entrada Recría (semanal)'!L12,"")</f>
        <v>0</v>
      </c>
      <c r="P18" s="121">
        <f t="shared" si="3"/>
        <v>847.78</v>
      </c>
      <c r="Q18" s="122">
        <f t="shared" si="4"/>
        <v>900.22</v>
      </c>
      <c r="R18" s="27">
        <f t="shared" si="1"/>
        <v>52.440000000000055</v>
      </c>
      <c r="S18" s="383">
        <v>847.78</v>
      </c>
      <c r="T18" s="383">
        <v>900.22</v>
      </c>
    </row>
    <row r="19" spans="1:20" x14ac:dyDescent="0.25">
      <c r="A19" s="216">
        <f>'Entrada Recría (diario)'!$A$89</f>
        <v>0</v>
      </c>
      <c r="B19" s="190">
        <v>11</v>
      </c>
      <c r="C19" s="233">
        <f t="array" ref="C19">IF(SUM('Entrada Recría (semanal)'!$C$3:$C$22)&gt;0,$L$5-SUM('Entrada Recría (semanal)'!C$3:C13),IF(SUM('Entrada Recría (semanal)'!$D$3:$D$22)&gt;0,$L$5-(SUM('Entrada Recría (semanal)'!$D$3:D13)/100*$L$5),$L$5 ))</f>
        <v>0</v>
      </c>
      <c r="D19" s="234">
        <f t="shared" si="2"/>
        <v>0</v>
      </c>
      <c r="E19" s="119">
        <v>932.17</v>
      </c>
      <c r="F19" s="120" t="s">
        <v>1</v>
      </c>
      <c r="G19" s="116">
        <v>989.83</v>
      </c>
      <c r="H19" s="73">
        <f>IF(ISNUMBER('Entrada Recría (semanal)'!E13),'Entrada Recría (semanal)'!E13,"")</f>
        <v>0</v>
      </c>
      <c r="I19" s="90">
        <v>60</v>
      </c>
      <c r="J19" s="235">
        <f t="array" ref="J19">IF('Entrada Recría (semanal)'!G13&gt;0,'Entrada Recría (semanal)'!G13,IF('Entrada Recría (semanal)'!F13&gt;0,'Entrada Recría (semanal)'!F13*1000/7/C19, ))</f>
        <v>0</v>
      </c>
      <c r="K19" s="235">
        <f t="array" ref="K19">IF('Entrada Recría (semanal)'!I13&gt;0,'Entrada Recría (semanal)'!I13,IF('Entrada Recría (semanal)'!H13&gt;0,'Entrada Recría (semanal)'!H13*1000/7/C19, ))</f>
        <v>0</v>
      </c>
      <c r="L19" s="16">
        <f t="shared" si="0"/>
        <v>0</v>
      </c>
      <c r="M19" s="14">
        <f>IF(ISNUMBER('Entrada Recría (semanal)'!J13),'Entrada Recría (semanal)'!J13,"")</f>
        <v>0</v>
      </c>
      <c r="N19" s="172">
        <f>IF(ISNUMBER('Entrada Recría (semanal)'!K13),'Entrada Recría (semanal)'!K13,"")</f>
        <v>0</v>
      </c>
      <c r="O19" s="172">
        <f>IF(ISNUMBER('Entrada Recría (semanal)'!L13),'Entrada Recría (semanal)'!L13,"")</f>
        <v>0</v>
      </c>
      <c r="P19" s="121">
        <f t="shared" si="3"/>
        <v>932.17</v>
      </c>
      <c r="Q19" s="122">
        <f t="shared" si="4"/>
        <v>989.83</v>
      </c>
      <c r="R19" s="27">
        <f t="shared" si="1"/>
        <v>57.660000000000082</v>
      </c>
      <c r="S19" s="383">
        <v>932.17</v>
      </c>
      <c r="T19" s="383">
        <v>989.83</v>
      </c>
    </row>
    <row r="20" spans="1:20" x14ac:dyDescent="0.25">
      <c r="A20" s="216">
        <f>'Entrada Recría (diario)'!$A$97</f>
        <v>0</v>
      </c>
      <c r="B20" s="190">
        <v>12</v>
      </c>
      <c r="C20" s="233">
        <f t="array" ref="C20">IF(SUM('Entrada Recría (semanal)'!$C$3:$C$22)&gt;0,$L$5-SUM('Entrada Recría (semanal)'!C$3:C14),IF(SUM('Entrada Recría (semanal)'!$D$3:$D$22)&gt;0,$L$5-(SUM('Entrada Recría (semanal)'!$D$3:D14)/100*$L$5),$L$5 ))</f>
        <v>0</v>
      </c>
      <c r="D20" s="234">
        <f t="shared" si="2"/>
        <v>0</v>
      </c>
      <c r="E20" s="119">
        <v>1011.71</v>
      </c>
      <c r="F20" s="120" t="s">
        <v>1</v>
      </c>
      <c r="G20" s="116">
        <v>1074.29</v>
      </c>
      <c r="H20" s="73">
        <f>IF(ISNUMBER('Entrada Recría (semanal)'!E14),'Entrada Recría (semanal)'!E14,"")</f>
        <v>0</v>
      </c>
      <c r="I20" s="90">
        <v>64</v>
      </c>
      <c r="J20" s="235">
        <f t="array" ref="J20">IF('Entrada Recría (semanal)'!G14&gt;0,'Entrada Recría (semanal)'!G14,IF('Entrada Recría (semanal)'!F14&gt;0,'Entrada Recría (semanal)'!F14*1000/7/C20, ))</f>
        <v>0</v>
      </c>
      <c r="K20" s="235">
        <f t="array" ref="K20">IF('Entrada Recría (semanal)'!I14&gt;0,'Entrada Recría (semanal)'!I14,IF('Entrada Recría (semanal)'!H14&gt;0,'Entrada Recría (semanal)'!H14*1000/7/C20, ))</f>
        <v>0</v>
      </c>
      <c r="L20" s="16">
        <f t="shared" si="0"/>
        <v>0</v>
      </c>
      <c r="M20" s="14">
        <f>IF(ISNUMBER('Entrada Recría (semanal)'!J14),'Entrada Recría (semanal)'!J14,"")</f>
        <v>0</v>
      </c>
      <c r="N20" s="172">
        <f>IF(ISNUMBER('Entrada Recría (semanal)'!K14),'Entrada Recría (semanal)'!K14,"")</f>
        <v>0</v>
      </c>
      <c r="O20" s="172">
        <f>IF(ISNUMBER('Entrada Recría (semanal)'!L14),'Entrada Recría (semanal)'!L14,"")</f>
        <v>0</v>
      </c>
      <c r="P20" s="121">
        <f t="shared" si="3"/>
        <v>1011.71</v>
      </c>
      <c r="Q20" s="122">
        <f t="shared" si="4"/>
        <v>1074.29</v>
      </c>
      <c r="R20" s="27">
        <f t="shared" si="1"/>
        <v>62.579999999999927</v>
      </c>
      <c r="S20" s="383">
        <v>1011.71</v>
      </c>
      <c r="T20" s="383">
        <v>1074.29</v>
      </c>
    </row>
    <row r="21" spans="1:20" x14ac:dyDescent="0.25">
      <c r="A21" s="216">
        <f>'Entrada Recría (diario)'!$A$105</f>
        <v>0</v>
      </c>
      <c r="B21" s="190">
        <v>13</v>
      </c>
      <c r="C21" s="233">
        <f t="array" ref="C21">IF(SUM('Entrada Recría (semanal)'!$C$3:$C$22)&gt;0,$L$5-SUM('Entrada Recría (semanal)'!C$3:C15),IF(SUM('Entrada Recría (semanal)'!$D$3:$D$22)&gt;0,$L$5-(SUM('Entrada Recría (semanal)'!$D$3:D15)/100*$L$5),$L$5 ))</f>
        <v>0</v>
      </c>
      <c r="D21" s="234">
        <f t="shared" si="2"/>
        <v>0</v>
      </c>
      <c r="E21" s="119">
        <v>1089.31</v>
      </c>
      <c r="F21" s="120" t="s">
        <v>1</v>
      </c>
      <c r="G21" s="116">
        <v>1156.69</v>
      </c>
      <c r="H21" s="73">
        <f>IF(ISNUMBER('Entrada Recría (semanal)'!E15),'Entrada Recría (semanal)'!E15,"")</f>
        <v>0</v>
      </c>
      <c r="I21" s="90">
        <v>65</v>
      </c>
      <c r="J21" s="235">
        <f t="array" ref="J21">IF('Entrada Recría (semanal)'!G15&gt;0,'Entrada Recría (semanal)'!G15,IF('Entrada Recría (semanal)'!F15&gt;0,'Entrada Recría (semanal)'!F15*1000/7/C21, ))</f>
        <v>0</v>
      </c>
      <c r="K21" s="235">
        <f t="array" ref="K21">IF('Entrada Recría (semanal)'!I15&gt;0,'Entrada Recría (semanal)'!I15,IF('Entrada Recría (semanal)'!H15&gt;0,'Entrada Recría (semanal)'!H15*1000/7/C21, ))</f>
        <v>0</v>
      </c>
      <c r="L21" s="16">
        <f t="shared" si="0"/>
        <v>0</v>
      </c>
      <c r="M21" s="14">
        <f>IF(ISNUMBER('Entrada Recría (semanal)'!J15),'Entrada Recría (semanal)'!J15,"")</f>
        <v>0</v>
      </c>
      <c r="N21" s="172">
        <f>IF(ISNUMBER('Entrada Recría (semanal)'!K15),'Entrada Recría (semanal)'!K15,"")</f>
        <v>0</v>
      </c>
      <c r="O21" s="172">
        <f>IF(ISNUMBER('Entrada Recría (semanal)'!L15),'Entrada Recría (semanal)'!L15,"")</f>
        <v>0</v>
      </c>
      <c r="P21" s="121">
        <f t="shared" si="3"/>
        <v>1089.31</v>
      </c>
      <c r="Q21" s="122">
        <f t="shared" si="4"/>
        <v>1156.69</v>
      </c>
      <c r="R21" s="27">
        <f t="shared" si="1"/>
        <v>67.380000000000109</v>
      </c>
      <c r="S21" s="383">
        <v>1089.31</v>
      </c>
      <c r="T21" s="383">
        <v>1156.69</v>
      </c>
    </row>
    <row r="22" spans="1:20" x14ac:dyDescent="0.25">
      <c r="A22" s="216">
        <f>'Entrada Recría (diario)'!$A$113</f>
        <v>0</v>
      </c>
      <c r="B22" s="190">
        <v>14</v>
      </c>
      <c r="C22" s="233">
        <f t="array" ref="C22">IF(SUM('Entrada Recría (semanal)'!$C$3:$C$22)&gt;0,$L$5-SUM('Entrada Recría (semanal)'!C$3:C16),IF(SUM('Entrada Recría (semanal)'!$D$3:$D$22)&gt;0,$L$5-(SUM('Entrada Recría (semanal)'!$D$3:D16)/100*$L$5),$L$5 ))</f>
        <v>0</v>
      </c>
      <c r="D22" s="234">
        <f t="shared" si="2"/>
        <v>0</v>
      </c>
      <c r="E22" s="119">
        <v>1161.0899999999999</v>
      </c>
      <c r="F22" s="120" t="s">
        <v>1</v>
      </c>
      <c r="G22" s="116">
        <v>1232.9100000000001</v>
      </c>
      <c r="H22" s="73">
        <f>IF(ISNUMBER('Entrada Recría (semanal)'!E16),'Entrada Recría (semanal)'!E16,"")</f>
        <v>0</v>
      </c>
      <c r="I22" s="90">
        <v>68</v>
      </c>
      <c r="J22" s="235">
        <f t="array" ref="J22">IF('Entrada Recría (semanal)'!G16&gt;0,'Entrada Recría (semanal)'!G16,IF('Entrada Recría (semanal)'!F16&gt;0,'Entrada Recría (semanal)'!F16*1000/7/C22, ))</f>
        <v>0</v>
      </c>
      <c r="K22" s="235">
        <f t="array" ref="K22">IF('Entrada Recría (semanal)'!I16&gt;0,'Entrada Recría (semanal)'!I16,IF('Entrada Recría (semanal)'!H16&gt;0,'Entrada Recría (semanal)'!H16*1000/7/C22, ))</f>
        <v>0</v>
      </c>
      <c r="L22" s="16">
        <f t="shared" si="0"/>
        <v>0</v>
      </c>
      <c r="M22" s="14">
        <f>IF(ISNUMBER('Entrada Recría (semanal)'!J16),'Entrada Recría (semanal)'!J16,"")</f>
        <v>0</v>
      </c>
      <c r="N22" s="172">
        <f>IF(ISNUMBER('Entrada Recría (semanal)'!K16),'Entrada Recría (semanal)'!K16,"")</f>
        <v>0</v>
      </c>
      <c r="O22" s="172">
        <f>IF(ISNUMBER('Entrada Recría (semanal)'!L16),'Entrada Recría (semanal)'!L16,"")</f>
        <v>0</v>
      </c>
      <c r="P22" s="121">
        <f t="shared" si="3"/>
        <v>1161.0899999999999</v>
      </c>
      <c r="Q22" s="122">
        <f t="shared" si="4"/>
        <v>1232.9100000000001</v>
      </c>
      <c r="R22" s="27">
        <f t="shared" si="1"/>
        <v>71.820000000000164</v>
      </c>
      <c r="S22" s="383">
        <v>1161.0899999999999</v>
      </c>
      <c r="T22" s="383">
        <v>1232.9100000000001</v>
      </c>
    </row>
    <row r="23" spans="1:20" x14ac:dyDescent="0.25">
      <c r="A23" s="216">
        <f>'Entrada Recría (diario)'!$A$121</f>
        <v>0</v>
      </c>
      <c r="B23" s="190">
        <v>15</v>
      </c>
      <c r="C23" s="233">
        <f t="array" ref="C23">IF(SUM('Entrada Recría (semanal)'!$C$3:$C$22)&gt;0,$L$5-SUM('Entrada Recría (semanal)'!C$3:C17),IF(SUM('Entrada Recría (semanal)'!$D$3:$D$22)&gt;0,$L$5-(SUM('Entrada Recría (semanal)'!$D$3:D17)/100*$L$5),$L$5 ))</f>
        <v>0</v>
      </c>
      <c r="D23" s="234">
        <f t="shared" si="2"/>
        <v>0</v>
      </c>
      <c r="E23" s="119">
        <v>1226.08</v>
      </c>
      <c r="F23" s="120" t="s">
        <v>1</v>
      </c>
      <c r="G23" s="116">
        <v>1301.92</v>
      </c>
      <c r="H23" s="73">
        <f>IF(ISNUMBER('Entrada Recría (semanal)'!E17),'Entrada Recría (semanal)'!E17,"")</f>
        <v>0</v>
      </c>
      <c r="I23" s="90">
        <v>70</v>
      </c>
      <c r="J23" s="235">
        <f t="array" ref="J23">IF('Entrada Recría (semanal)'!G17&gt;0,'Entrada Recría (semanal)'!G17,IF('Entrada Recría (semanal)'!F17&gt;0,'Entrada Recría (semanal)'!F17*1000/7/C23, ))</f>
        <v>0</v>
      </c>
      <c r="K23" s="235">
        <f t="array" ref="K23">IF('Entrada Recría (semanal)'!I17&gt;0,'Entrada Recría (semanal)'!I17,IF('Entrada Recría (semanal)'!H17&gt;0,'Entrada Recría (semanal)'!H17*1000/7/C23, ))</f>
        <v>0</v>
      </c>
      <c r="L23" s="16">
        <f t="shared" si="0"/>
        <v>0</v>
      </c>
      <c r="M23" s="14">
        <f>IF(ISNUMBER('Entrada Recría (semanal)'!J17),'Entrada Recría (semanal)'!J17,"")</f>
        <v>0</v>
      </c>
      <c r="N23" s="172">
        <f>IF(ISNUMBER('Entrada Recría (semanal)'!K17),'Entrada Recría (semanal)'!K17,"")</f>
        <v>0</v>
      </c>
      <c r="O23" s="172">
        <f>IF(ISNUMBER('Entrada Recría (semanal)'!L17),'Entrada Recría (semanal)'!L17,"")</f>
        <v>0</v>
      </c>
      <c r="P23" s="121">
        <f t="shared" si="3"/>
        <v>1226.08</v>
      </c>
      <c r="Q23" s="122">
        <f t="shared" si="4"/>
        <v>1301.92</v>
      </c>
      <c r="R23" s="27">
        <f t="shared" si="1"/>
        <v>75.840000000000146</v>
      </c>
      <c r="S23" s="383">
        <v>1226.08</v>
      </c>
      <c r="T23" s="383">
        <v>1301.92</v>
      </c>
    </row>
    <row r="24" spans="1:20" x14ac:dyDescent="0.25">
      <c r="A24" s="216">
        <f>'Entrada Recría (diario)'!$A$129</f>
        <v>0</v>
      </c>
      <c r="B24" s="190">
        <v>16</v>
      </c>
      <c r="C24" s="233">
        <f t="array" ref="C24">IF(SUM('Entrada Recría (semanal)'!$C$3:$C$22)&gt;0,$L$5-SUM('Entrada Recría (semanal)'!C$3:C18),IF(SUM('Entrada Recría (semanal)'!$D$3:$D$22)&gt;0,$L$5-(SUM('Entrada Recría (semanal)'!$D$3:D18)/100*$L$5),$L$5 ))</f>
        <v>0</v>
      </c>
      <c r="D24" s="234">
        <f t="shared" si="2"/>
        <v>0</v>
      </c>
      <c r="E24" s="119">
        <v>1290.0999999999999</v>
      </c>
      <c r="F24" s="120" t="s">
        <v>1</v>
      </c>
      <c r="G24" s="116">
        <v>1369.9</v>
      </c>
      <c r="H24" s="73">
        <f>IF(ISNUMBER('Entrada Recría (semanal)'!E18),'Entrada Recría (semanal)'!E18,"")</f>
        <v>0</v>
      </c>
      <c r="I24" s="90">
        <v>71</v>
      </c>
      <c r="J24" s="235">
        <f t="array" ref="J24">IF('Entrada Recría (semanal)'!G18&gt;0,'Entrada Recría (semanal)'!G18,IF('Entrada Recría (semanal)'!F18&gt;0,'Entrada Recría (semanal)'!F18*1000/7/C24, ))</f>
        <v>0</v>
      </c>
      <c r="K24" s="235">
        <f t="array" ref="K24">IF('Entrada Recría (semanal)'!I18&gt;0,'Entrada Recría (semanal)'!I18,IF('Entrada Recría (semanal)'!H18&gt;0,'Entrada Recría (semanal)'!H18*1000/7/C24, ))</f>
        <v>0</v>
      </c>
      <c r="L24" s="16">
        <f t="shared" si="0"/>
        <v>0</v>
      </c>
      <c r="M24" s="14">
        <f>IF(ISNUMBER('Entrada Recría (semanal)'!J18),'Entrada Recría (semanal)'!J18,"")</f>
        <v>0</v>
      </c>
      <c r="N24" s="172">
        <f>IF(ISNUMBER('Entrada Recría (semanal)'!K18),'Entrada Recría (semanal)'!K18,"")</f>
        <v>0</v>
      </c>
      <c r="O24" s="172">
        <f>IF(ISNUMBER('Entrada Recría (semanal)'!L18),'Entrada Recría (semanal)'!L18,"")</f>
        <v>0</v>
      </c>
      <c r="P24" s="121">
        <f t="shared" si="3"/>
        <v>1290.0999999999999</v>
      </c>
      <c r="Q24" s="122">
        <f t="shared" si="4"/>
        <v>1369.9</v>
      </c>
      <c r="R24" s="27">
        <f t="shared" si="1"/>
        <v>79.800000000000182</v>
      </c>
      <c r="S24" s="383">
        <v>1290.0999999999999</v>
      </c>
      <c r="T24" s="383">
        <v>1369.9</v>
      </c>
    </row>
    <row r="25" spans="1:20" x14ac:dyDescent="0.25">
      <c r="A25" s="216">
        <f>'Entrada Recría (diario)'!$A$137</f>
        <v>0</v>
      </c>
      <c r="B25" s="190">
        <v>17</v>
      </c>
      <c r="C25" s="233">
        <f t="array" ref="C25">IF(SUM('Entrada Recría (semanal)'!$C$3:$C$22)&gt;0,$L$5-SUM('Entrada Recría (semanal)'!C$3:C19),IF(SUM('Entrada Recría (semanal)'!$D$3:$D$22)&gt;0,$L$5-(SUM('Entrada Recría (semanal)'!$D$3:D19)/100*$L$5),$L$5 ))</f>
        <v>0</v>
      </c>
      <c r="D25" s="234">
        <f t="shared" si="2"/>
        <v>0</v>
      </c>
      <c r="E25" s="119">
        <v>1358</v>
      </c>
      <c r="F25" s="120" t="s">
        <v>1</v>
      </c>
      <c r="G25" s="116">
        <v>1442</v>
      </c>
      <c r="H25" s="73">
        <f>IF(ISNUMBER('Entrada Recría (semanal)'!E19),'Entrada Recría (semanal)'!E19,"")</f>
        <v>0</v>
      </c>
      <c r="I25" s="90">
        <v>72</v>
      </c>
      <c r="J25" s="235">
        <f t="array" ref="J25">IF('Entrada Recría (semanal)'!G19&gt;0,'Entrada Recría (semanal)'!G19,IF('Entrada Recría (semanal)'!F19&gt;0,'Entrada Recría (semanal)'!F19*1000/7/C25, ))</f>
        <v>0</v>
      </c>
      <c r="K25" s="235">
        <f t="array" ref="K25">IF('Entrada Recría (semanal)'!I19&gt;0,'Entrada Recría (semanal)'!I19,IF('Entrada Recría (semanal)'!H19&gt;0,'Entrada Recría (semanal)'!H19*1000/7/C25, ))</f>
        <v>0</v>
      </c>
      <c r="L25" s="16">
        <f t="shared" si="0"/>
        <v>0</v>
      </c>
      <c r="M25" s="14">
        <f>IF(ISNUMBER('Entrada Recría (semanal)'!J19),'Entrada Recría (semanal)'!J19,"")</f>
        <v>0</v>
      </c>
      <c r="N25" s="172">
        <f>IF(ISNUMBER('Entrada Recría (semanal)'!K19),'Entrada Recría (semanal)'!K19,"")</f>
        <v>0</v>
      </c>
      <c r="O25" s="172">
        <f>IF(ISNUMBER('Entrada Recría (semanal)'!L19),'Entrada Recría (semanal)'!L19,"")</f>
        <v>0</v>
      </c>
      <c r="P25" s="121">
        <f t="shared" si="3"/>
        <v>1358</v>
      </c>
      <c r="Q25" s="122">
        <f t="shared" si="4"/>
        <v>1442</v>
      </c>
      <c r="R25" s="27">
        <f t="shared" si="1"/>
        <v>84</v>
      </c>
      <c r="S25" s="383">
        <v>1358</v>
      </c>
      <c r="T25" s="383">
        <v>1442</v>
      </c>
    </row>
    <row r="26" spans="1:20" x14ac:dyDescent="0.25">
      <c r="A26" s="216">
        <f>'Entrada Recría (diario)'!$A$145</f>
        <v>0</v>
      </c>
      <c r="B26" s="190">
        <v>18</v>
      </c>
      <c r="C26" s="233">
        <f t="array" ref="C26">IF(SUM('Entrada Recría (semanal)'!$C$3:$C$22)&gt;0,$L$5-SUM('Entrada Recría (semanal)'!C$3:C20),IF(SUM('Entrada Recría (semanal)'!$D$3:$D$22)&gt;0,$L$5-(SUM('Entrada Recría (semanal)'!$D$3:D20)/100*$L$5),$L$5 ))</f>
        <v>0</v>
      </c>
      <c r="D26" s="234">
        <f t="shared" si="2"/>
        <v>0</v>
      </c>
      <c r="E26" s="119">
        <v>1430.75</v>
      </c>
      <c r="F26" s="120" t="s">
        <v>1</v>
      </c>
      <c r="G26" s="116">
        <v>1519.25</v>
      </c>
      <c r="H26" s="73">
        <f>IF(ISNUMBER('Entrada Recría (semanal)'!E20),'Entrada Recría (semanal)'!E20,"")</f>
        <v>0</v>
      </c>
      <c r="I26" s="90">
        <v>75</v>
      </c>
      <c r="J26" s="235">
        <f t="array" ref="J26">IF('Entrada Recría (semanal)'!G20&gt;0,'Entrada Recría (semanal)'!G20,IF('Entrada Recría (semanal)'!F20&gt;0,'Entrada Recría (semanal)'!F20*1000/7/C26, ))</f>
        <v>0</v>
      </c>
      <c r="K26" s="235">
        <f t="array" ref="K26">IF('Entrada Recría (semanal)'!I20&gt;0,'Entrada Recría (semanal)'!I20,IF('Entrada Recría (semanal)'!H20&gt;0,'Entrada Recría (semanal)'!H20*1000/7/C26, ))</f>
        <v>0</v>
      </c>
      <c r="L26" s="16">
        <f t="shared" si="0"/>
        <v>0</v>
      </c>
      <c r="M26" s="14">
        <f>IF(ISNUMBER('Entrada Recría (semanal)'!J20),'Entrada Recría (semanal)'!J20,"")</f>
        <v>0</v>
      </c>
      <c r="N26" s="172">
        <f>IF(ISNUMBER('Entrada Recría (semanal)'!K20),'Entrada Recría (semanal)'!K20,"")</f>
        <v>0</v>
      </c>
      <c r="O26" s="172">
        <f>IF(ISNUMBER('Entrada Recría (semanal)'!L20),'Entrada Recría (semanal)'!L20,"")</f>
        <v>0</v>
      </c>
      <c r="P26" s="121">
        <f t="shared" si="3"/>
        <v>1430.75</v>
      </c>
      <c r="Q26" s="122">
        <f t="shared" si="4"/>
        <v>1519.25</v>
      </c>
      <c r="R26" s="27">
        <f t="shared" si="1"/>
        <v>88.5</v>
      </c>
      <c r="S26" s="383">
        <v>1430.75</v>
      </c>
      <c r="T26" s="383">
        <v>1519.25</v>
      </c>
    </row>
    <row r="27" spans="1:20" x14ac:dyDescent="0.25">
      <c r="A27" s="216">
        <f>'Entrada Recría (diario)'!$A$153</f>
        <v>0</v>
      </c>
      <c r="B27" s="190">
        <v>19</v>
      </c>
      <c r="C27" s="233">
        <f t="array" ref="C27">IF(SUM('Entrada Recría (semanal)'!$C$3:$C$22)&gt;0,$L$5-SUM('Entrada Recría (semanal)'!C$3:C21),IF(SUM('Entrada Recría (semanal)'!$D$3:$D$22)&gt;0,$L$5-(SUM('Entrada Recría (semanal)'!$D$3:D21)/100*$L$5),$L$5 ))</f>
        <v>0</v>
      </c>
      <c r="D27" s="234">
        <f t="shared" si="2"/>
        <v>0</v>
      </c>
      <c r="E27" s="119">
        <v>1508.35</v>
      </c>
      <c r="F27" s="120" t="s">
        <v>1</v>
      </c>
      <c r="G27" s="116">
        <v>1601.65</v>
      </c>
      <c r="H27" s="73">
        <f>IF(ISNUMBER('Entrada Recría (semanal)'!E21),'Entrada Recría (semanal)'!E21,"")</f>
        <v>0</v>
      </c>
      <c r="I27" s="90">
        <v>81</v>
      </c>
      <c r="J27" s="235">
        <f t="array" ref="J27">IF('Entrada Recría (semanal)'!G21&gt;0,'Entrada Recría (semanal)'!G21,IF('Entrada Recría (semanal)'!F21&gt;0,'Entrada Recría (semanal)'!F21*1000/7/C27, ))</f>
        <v>0</v>
      </c>
      <c r="K27" s="235">
        <f t="array" ref="K27">IF('Entrada Recría (semanal)'!I21&gt;0,'Entrada Recría (semanal)'!I21,IF('Entrada Recría (semanal)'!H21&gt;0,'Entrada Recría (semanal)'!H21*1000/7/C27, ))</f>
        <v>0</v>
      </c>
      <c r="L27" s="16">
        <f t="shared" si="0"/>
        <v>0</v>
      </c>
      <c r="M27" s="14">
        <f>IF(ISNUMBER('Entrada Recría (semanal)'!J21),'Entrada Recría (semanal)'!J21,"")</f>
        <v>0</v>
      </c>
      <c r="N27" s="172">
        <f>IF(ISNUMBER('Entrada Recría (semanal)'!K21),'Entrada Recría (semanal)'!K21,"")</f>
        <v>0</v>
      </c>
      <c r="O27" s="172">
        <f>IF(ISNUMBER('Entrada Recría (semanal)'!L21),'Entrada Recría (semanal)'!L21,"")</f>
        <v>0</v>
      </c>
      <c r="P27" s="121">
        <f t="shared" si="3"/>
        <v>1508.35</v>
      </c>
      <c r="Q27" s="122">
        <f t="shared" si="4"/>
        <v>1601.65</v>
      </c>
      <c r="R27" s="27">
        <f t="shared" si="1"/>
        <v>93.300000000000182</v>
      </c>
      <c r="S27" s="383">
        <v>1508.35</v>
      </c>
      <c r="T27" s="383">
        <v>1601.65</v>
      </c>
    </row>
    <row r="28" spans="1:20" x14ac:dyDescent="0.25">
      <c r="A28" s="217">
        <f>'Entrada Recría (diario)'!$A$161</f>
        <v>0</v>
      </c>
      <c r="B28" s="191">
        <v>20</v>
      </c>
      <c r="C28" s="236">
        <f t="array" ref="C28">IF(SUM('Entrada Recría (semanal)'!$C$3:$C$22)&gt;0,$L$5-SUM('Entrada Recría (semanal)'!C$3:C22),IF(SUM('Entrada Recría (semanal)'!$D$3:$D$22)&gt;0,$L$5-(SUM('Entrada Recría (semanal)'!$D$3:D22)/100*$L$5),$L$5 ))</f>
        <v>0</v>
      </c>
      <c r="D28" s="237">
        <f t="shared" si="2"/>
        <v>0</v>
      </c>
      <c r="E28" s="238">
        <v>1590.8</v>
      </c>
      <c r="F28" s="239" t="s">
        <v>1</v>
      </c>
      <c r="G28" s="240">
        <v>1689.2</v>
      </c>
      <c r="H28" s="74">
        <f>IF(ISNUMBER('Entrada Recría (semanal)'!E22),'Entrada Recría (semanal)'!E22,"")</f>
        <v>0</v>
      </c>
      <c r="I28" s="241">
        <v>93</v>
      </c>
      <c r="J28" s="242">
        <f t="array" ref="J28">IF('Entrada Recría (semanal)'!G22&gt;0,'Entrada Recría (semanal)'!G22,IF('Entrada Recría (semanal)'!F22&gt;0,'Entrada Recría (semanal)'!F22*1000/7/C28, ))</f>
        <v>0</v>
      </c>
      <c r="K28" s="242">
        <f t="array" ref="K28">IF('Entrada Recría (semanal)'!I22&gt;0,'Entrada Recría (semanal)'!I22,IF('Entrada Recría (semanal)'!H22&gt;0,'Entrada Recría (semanal)'!H22*1000/7/C28, ))</f>
        <v>0</v>
      </c>
      <c r="L28" s="29">
        <f t="shared" si="0"/>
        <v>0</v>
      </c>
      <c r="M28" s="28">
        <f>IF(ISNUMBER('Entrada Recría (semanal)'!J22),'Entrada Recría (semanal)'!J22,"")</f>
        <v>0</v>
      </c>
      <c r="N28" s="173">
        <f>IF(ISNUMBER('Entrada Recría (semanal)'!K22),'Entrada Recría (semanal)'!K22,"")</f>
        <v>0</v>
      </c>
      <c r="O28" s="173">
        <f>IF(ISNUMBER('Entrada Recría (semanal)'!L22),'Entrada Recría (semanal)'!L22,"")</f>
        <v>0</v>
      </c>
      <c r="P28" s="121">
        <f t="shared" si="3"/>
        <v>1590.8</v>
      </c>
      <c r="Q28" s="122">
        <f t="shared" si="4"/>
        <v>1689.2</v>
      </c>
      <c r="R28" s="27">
        <f t="shared" si="1"/>
        <v>98.400000000000091</v>
      </c>
      <c r="S28" s="383">
        <v>1590.8</v>
      </c>
      <c r="T28" s="383">
        <v>1689.2</v>
      </c>
    </row>
    <row r="29" spans="1:20" x14ac:dyDescent="0.25">
      <c r="N29" s="84">
        <v>1858</v>
      </c>
      <c r="O29" s="84">
        <v>2013</v>
      </c>
      <c r="P29" s="84"/>
      <c r="Q29" s="84"/>
    </row>
  </sheetData>
  <sheetProtection password="EA71" sheet="1" objects="1" scenarios="1"/>
  <mergeCells count="7">
    <mergeCell ref="E8:G8"/>
    <mergeCell ref="L3:N3"/>
    <mergeCell ref="L4:N4"/>
    <mergeCell ref="C3:G3"/>
    <mergeCell ref="C4:G4"/>
    <mergeCell ref="C5:G5"/>
    <mergeCell ref="C6:G6"/>
  </mergeCells>
  <printOptions horizontalCentered="1"/>
  <pageMargins left="0.78740157480314965" right="0.78740157480314965" top="1.299212598425197" bottom="0.98425196850393704" header="0.51181102362204722" footer="0.51181102362204722"/>
  <pageSetup paperSize="9" orientation="landscape" horizontalDpi="300" verticalDpi="98" r:id="rId1"/>
  <headerFooter alignWithMargins="0">
    <oddHeader>&amp;C&amp;"Arial,Fett"&amp;16LOHMANN BROWN Classic Layers
- Rearing -</oddHeader>
    <oddFooter>&amp;Lltzaf0915&amp;R&amp;12&amp;F,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44"/>
  <sheetViews>
    <sheetView topLeftCell="A9" zoomScaleNormal="100" workbookViewId="0">
      <pane xSplit="1" ySplit="2" topLeftCell="B89" activePane="bottomRight" state="frozen"/>
      <selection activeCell="A9" sqref="A9"/>
      <selection pane="topRight" activeCell="B9" sqref="B9"/>
      <selection pane="bottomLeft" activeCell="A11" sqref="A11"/>
      <selection pane="bottomRight" activeCell="B11" sqref="B11"/>
    </sheetView>
  </sheetViews>
  <sheetFormatPr baseColWidth="10" defaultColWidth="11.44140625" defaultRowHeight="13.2" x14ac:dyDescent="0.25"/>
  <cols>
    <col min="1" max="1" width="5.6640625" style="17" customWidth="1"/>
    <col min="2" max="2" width="8.33203125" style="18" customWidth="1"/>
    <col min="3" max="3" width="7.109375" style="21" customWidth="1"/>
    <col min="4" max="4" width="6.6640625" style="21" customWidth="1"/>
    <col min="5" max="5" width="6.6640625" style="18" customWidth="1"/>
    <col min="6" max="7" width="6.6640625" style="19" customWidth="1"/>
    <col min="8" max="11" width="6.6640625" style="18" customWidth="1"/>
    <col min="12" max="16" width="6.6640625" style="20" customWidth="1"/>
    <col min="17" max="21" width="6.6640625" style="21" customWidth="1"/>
    <col min="22" max="25" width="6.6640625" style="352" customWidth="1"/>
    <col min="26" max="27" width="11.44140625" style="352"/>
    <col min="28" max="30" width="11.44140625" style="353"/>
    <col min="31" max="31" width="11.44140625" style="352"/>
    <col min="32" max="32" width="11.44140625" style="282"/>
    <col min="33" max="35" width="11.44140625" style="283"/>
    <col min="36" max="36" width="11.44140625" style="115"/>
    <col min="37" max="71" width="11.44140625" style="128"/>
    <col min="72" max="87" width="11.44140625" style="129"/>
    <col min="88" max="16384" width="11.44140625" style="21"/>
  </cols>
  <sheetData>
    <row r="1" spans="1:87" ht="17.399999999999999" x14ac:dyDescent="0.3">
      <c r="B1" s="30" t="str">
        <f>Traducción!B7</f>
        <v>Producción</v>
      </c>
      <c r="D1"/>
      <c r="H1" s="30" t="str">
        <f>Traducción!B4</f>
        <v>LOHMANN BROWN Classic Ponedoras</v>
      </c>
    </row>
    <row r="3" spans="1:87" ht="15.6" x14ac:dyDescent="0.3">
      <c r="A3" s="22" t="str">
        <f>Traducción!B8</f>
        <v>País:</v>
      </c>
      <c r="B3"/>
      <c r="C3"/>
      <c r="D3" s="23">
        <f>Info!B3</f>
        <v>0</v>
      </c>
      <c r="E3" s="31"/>
      <c r="F3" s="31"/>
      <c r="G3" s="31"/>
      <c r="H3" s="31"/>
      <c r="I3" s="32"/>
      <c r="J3" s="32"/>
      <c r="K3"/>
      <c r="L3" s="24" t="str">
        <f>Traducción!B12</f>
        <v>Fecha de Nacimiento:</v>
      </c>
      <c r="M3"/>
      <c r="N3"/>
      <c r="O3"/>
      <c r="Q3" s="75">
        <f>Info!$J$3</f>
        <v>0</v>
      </c>
      <c r="R3" s="76"/>
      <c r="S3" s="76"/>
      <c r="T3" s="77"/>
      <c r="U3"/>
      <c r="V3" s="354"/>
      <c r="W3" s="354"/>
      <c r="X3" s="354"/>
    </row>
    <row r="4" spans="1:87" ht="15.6" x14ac:dyDescent="0.3">
      <c r="A4" s="22" t="str">
        <f>Traducción!B9</f>
        <v>Proprietario:</v>
      </c>
      <c r="B4"/>
      <c r="C4"/>
      <c r="D4" s="23">
        <f>Info!B4</f>
        <v>0</v>
      </c>
      <c r="E4" s="31"/>
      <c r="F4" s="31"/>
      <c r="G4" s="31"/>
      <c r="H4" s="31"/>
      <c r="I4" s="32"/>
      <c r="J4" s="32"/>
      <c r="K4"/>
      <c r="L4" s="24" t="str">
        <f>Traducción!B16</f>
        <v>Fecha 18 Sem. + 0:</v>
      </c>
      <c r="M4"/>
      <c r="N4"/>
      <c r="O4"/>
      <c r="Q4" s="75">
        <f>Info!D28</f>
        <v>0</v>
      </c>
      <c r="R4" s="76"/>
      <c r="S4" s="76"/>
      <c r="T4" s="32"/>
      <c r="U4"/>
      <c r="V4" s="354"/>
      <c r="W4" s="354"/>
      <c r="X4" s="354"/>
    </row>
    <row r="5" spans="1:87" ht="15.6" x14ac:dyDescent="0.3">
      <c r="A5" s="22" t="str">
        <f>Traducción!B10</f>
        <v>Granja:</v>
      </c>
      <c r="B5"/>
      <c r="C5"/>
      <c r="D5" s="23">
        <f>Info!B5</f>
        <v>0</v>
      </c>
      <c r="E5" s="31"/>
      <c r="F5" s="31"/>
      <c r="G5" s="31"/>
      <c r="H5" s="31"/>
      <c r="I5" s="32"/>
      <c r="J5" s="32"/>
      <c r="K5"/>
      <c r="L5" s="24" t="str">
        <f>Traducción!B13</f>
        <v>Fecha de Alojamiento:</v>
      </c>
      <c r="M5"/>
      <c r="N5"/>
      <c r="O5"/>
      <c r="Q5" s="75">
        <f>Info!$J$28</f>
        <v>0</v>
      </c>
      <c r="R5" s="76"/>
      <c r="S5" s="76"/>
      <c r="T5" s="32"/>
      <c r="U5"/>
      <c r="V5" s="354"/>
      <c r="W5" s="354"/>
      <c r="X5" s="354"/>
    </row>
    <row r="6" spans="1:87" ht="15.6" x14ac:dyDescent="0.3">
      <c r="A6" s="22" t="str">
        <f>Traducción!B11</f>
        <v>Lote:</v>
      </c>
      <c r="B6"/>
      <c r="C6"/>
      <c r="D6" s="23">
        <f>Info!B6</f>
        <v>0</v>
      </c>
      <c r="E6" s="31"/>
      <c r="F6" s="31"/>
      <c r="G6" s="31"/>
      <c r="H6" s="31"/>
      <c r="I6" s="32"/>
      <c r="J6" s="32"/>
      <c r="K6" s="25"/>
      <c r="L6" s="24" t="str">
        <f>Traducción!B17</f>
        <v>No. de Aves con 18 Sem.:</v>
      </c>
      <c r="M6"/>
      <c r="N6"/>
      <c r="O6"/>
      <c r="P6" s="21"/>
      <c r="Q6" s="98">
        <f>Info!$D$29</f>
        <v>0</v>
      </c>
      <c r="R6" s="76"/>
      <c r="S6" s="76"/>
      <c r="T6" s="32"/>
    </row>
    <row r="7" spans="1:87" ht="15.6" x14ac:dyDescent="0.3">
      <c r="A7" s="22"/>
      <c r="B7"/>
      <c r="C7"/>
      <c r="D7"/>
      <c r="E7"/>
      <c r="F7"/>
      <c r="G7"/>
      <c r="H7"/>
      <c r="I7"/>
      <c r="J7"/>
      <c r="K7"/>
      <c r="L7" s="24" t="str">
        <f>Traducción!B14</f>
        <v>No. de Aves Alojadas:</v>
      </c>
      <c r="M7"/>
      <c r="N7"/>
      <c r="O7"/>
      <c r="P7" s="21"/>
      <c r="Q7" s="98">
        <f>Info!$J$29</f>
        <v>0</v>
      </c>
      <c r="R7" s="76"/>
      <c r="S7" s="76"/>
      <c r="T7" s="32"/>
    </row>
    <row r="8" spans="1:87" ht="16.2" thickBot="1" x14ac:dyDescent="0.35">
      <c r="A8" s="22"/>
      <c r="B8"/>
      <c r="C8"/>
      <c r="D8"/>
      <c r="E8"/>
      <c r="F8"/>
      <c r="G8"/>
      <c r="H8" s="21"/>
      <c r="I8" s="25"/>
      <c r="J8" s="25"/>
      <c r="K8" s="25"/>
      <c r="L8" s="25"/>
      <c r="M8"/>
    </row>
    <row r="9" spans="1:87" ht="13.8" thickTop="1" x14ac:dyDescent="0.25">
      <c r="A9" s="268"/>
      <c r="B9" s="246" t="str">
        <f>Traducción!B58</f>
        <v>Datos de Granja</v>
      </c>
      <c r="C9" s="246"/>
      <c r="D9" s="247"/>
      <c r="E9" s="248" t="str">
        <f>Traducción!B59</f>
        <v>Prod. / Sem.</v>
      </c>
      <c r="F9" s="249"/>
      <c r="G9" s="250"/>
      <c r="H9" s="248" t="str">
        <f>Traducción!B60</f>
        <v>No. de Huevos</v>
      </c>
      <c r="I9" s="246"/>
      <c r="J9" s="251"/>
      <c r="K9" s="252" t="str">
        <f>Traducción!B61</f>
        <v>Peso de Huevo</v>
      </c>
      <c r="L9" s="253"/>
      <c r="M9" s="254"/>
      <c r="N9" s="255"/>
      <c r="O9" s="245" t="str">
        <f>Traducción!B62</f>
        <v>Masa de Huevo</v>
      </c>
      <c r="P9" s="253"/>
      <c r="Q9" s="253"/>
      <c r="R9" s="256"/>
      <c r="S9" s="245" t="str">
        <f>Traducción!B59</f>
        <v>Prod. / Sem.</v>
      </c>
      <c r="T9" s="257"/>
      <c r="U9" s="258"/>
    </row>
    <row r="10" spans="1:87" s="26" customFormat="1" ht="63" customHeight="1" x14ac:dyDescent="0.25">
      <c r="A10" s="269" t="str">
        <f>Traducción!B63</f>
        <v>Sem. de Edad</v>
      </c>
      <c r="B10" s="260" t="str">
        <f>Traducción!B65</f>
        <v>No. de Aves</v>
      </c>
      <c r="C10" s="260" t="str">
        <f>Traducción!B66</f>
        <v>Viabilidad</v>
      </c>
      <c r="D10" s="261" t="str">
        <f>Traducción!B67</f>
        <v>Viabilidad Estándar</v>
      </c>
      <c r="E10" s="259" t="str">
        <f>Traducción!B68</f>
        <v>por A.D.</v>
      </c>
      <c r="F10" s="260" t="str">
        <f>Traducción!B64</f>
        <v>Estándar</v>
      </c>
      <c r="G10" s="261" t="str">
        <f>Traducción!B56</f>
        <v>% Huevos de 2a</v>
      </c>
      <c r="H10" s="262" t="str">
        <f>Traducción!B69</f>
        <v>por A.A.</v>
      </c>
      <c r="I10" s="263" t="str">
        <f>Traducción!B64</f>
        <v>Estándar</v>
      </c>
      <c r="J10" s="264" t="str">
        <f>Traducción!B70</f>
        <v>Huevos de 2a por A.A.</v>
      </c>
      <c r="K10" s="265" t="str">
        <f>Traducción!B71</f>
        <v>por Sem.</v>
      </c>
      <c r="L10" s="260" t="str">
        <f>Traducción!B64</f>
        <v>Estándar</v>
      </c>
      <c r="M10" s="266" t="str">
        <f>Traducción!B72</f>
        <v>Acum.</v>
      </c>
      <c r="N10" s="261" t="str">
        <f>Traducción!B73</f>
        <v>Estándar Acum.</v>
      </c>
      <c r="O10" s="259" t="str">
        <f>Traducción!B71</f>
        <v>por Sem.</v>
      </c>
      <c r="P10" s="260" t="str">
        <f>Traducción!B64</f>
        <v>Estándar</v>
      </c>
      <c r="Q10" s="267" t="str">
        <f>Traducción!B74</f>
        <v>Acumulado (kg/A.A.)</v>
      </c>
      <c r="R10" s="261" t="str">
        <f>Traducción!B73</f>
        <v>Estándar Acum.</v>
      </c>
      <c r="S10" s="259" t="str">
        <f>Traducción!B69</f>
        <v>por A.A.</v>
      </c>
      <c r="T10" s="260" t="str">
        <f>Traducción!B64</f>
        <v>Estándar</v>
      </c>
      <c r="U10" s="261" t="str">
        <f>Traducción!B56</f>
        <v>% Huevos de 2a</v>
      </c>
      <c r="V10" s="355" t="s">
        <v>22</v>
      </c>
      <c r="W10" s="355" t="s">
        <v>23</v>
      </c>
      <c r="X10" s="355" t="s">
        <v>24</v>
      </c>
      <c r="Y10" s="355" t="s">
        <v>25</v>
      </c>
      <c r="Z10" s="355" t="s">
        <v>26</v>
      </c>
      <c r="AA10" s="355" t="s">
        <v>27</v>
      </c>
      <c r="AB10" s="356" t="s">
        <v>28</v>
      </c>
      <c r="AC10" s="356" t="s">
        <v>29</v>
      </c>
      <c r="AD10" s="356" t="s">
        <v>30</v>
      </c>
      <c r="AE10" s="355" t="s">
        <v>31</v>
      </c>
      <c r="AF10" s="282"/>
      <c r="AG10" s="285"/>
      <c r="AH10" s="285"/>
      <c r="AI10" s="285"/>
      <c r="AJ10" s="148"/>
      <c r="AK10" s="130"/>
      <c r="AL10" s="130"/>
      <c r="AM10" s="130"/>
      <c r="AN10" s="130"/>
      <c r="AO10" s="130"/>
      <c r="AP10" s="130"/>
      <c r="AQ10" s="130"/>
      <c r="AR10" s="130"/>
      <c r="AS10" s="130"/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1"/>
      <c r="BU10" s="131"/>
      <c r="BV10" s="131"/>
      <c r="BW10" s="131"/>
      <c r="BX10" s="131"/>
      <c r="BY10" s="131"/>
      <c r="BZ10" s="131"/>
      <c r="CA10" s="131"/>
      <c r="CB10" s="131"/>
      <c r="CC10" s="131"/>
      <c r="CD10" s="131"/>
      <c r="CE10" s="131"/>
      <c r="CF10" s="131"/>
      <c r="CG10" s="131"/>
      <c r="CH10" s="131"/>
      <c r="CI10" s="131"/>
    </row>
    <row r="11" spans="1:87" s="17" customFormat="1" x14ac:dyDescent="0.25">
      <c r="A11" s="270">
        <v>15</v>
      </c>
      <c r="B11" s="243">
        <f t="array" ref="B11">IF(SUM('Entrada Prod (semanal)'!C$3:C$108)&gt;0,$Q$7-SUM('Entrada Prod (semanal)'!C$3:C3),IF(SUM('Entrada Prod (semanal)'!$D$3:D108)&gt;0,$Q$7-SUM('Entrada Prod (semanal)'!$D$3:D3)/100*$Q$7,$Q$7))</f>
        <v>0</v>
      </c>
      <c r="C11" s="35">
        <f>IF((Info!$J$5&gt;0),B11/$Q$7*100, )</f>
        <v>0</v>
      </c>
      <c r="D11" s="50"/>
      <c r="E11" s="244">
        <f t="array" ref="E11">IF(SUM('Entrada Prod (semanal)'!E$3:E$108)&gt;0,('Entrada Prod (semanal)'!E3)/7/B11*100,IF(SUM('Entrada Prod (semanal)'!$G$3:$G$108)&gt;0,('Entrada Prod (semanal)'!G3), ))</f>
        <v>0</v>
      </c>
      <c r="F11" s="183"/>
      <c r="G11" s="181">
        <f t="array" ref="G11">IF(SUM('Entrada Prod (semanal)'!F$3:F$108)&gt;0,('Entrada Prod (semanal)'!F3)/7/B11*100,IF(SUM('Entrada Prod (semanal)'!$H$3:$H$108)&gt;0,('Entrada Prod (semanal)'!H3), ))</f>
        <v>0</v>
      </c>
      <c r="H11" s="59">
        <f>7*S11/100</f>
        <v>0</v>
      </c>
      <c r="I11" s="145">
        <f>IF(ISNUMBER(T11),7*T11/100, )</f>
        <v>0</v>
      </c>
      <c r="J11" s="168">
        <f>IF(ISNUMBER(U11),7*U11/100, )</f>
        <v>0</v>
      </c>
      <c r="K11" s="59">
        <f>IF(ISNUMBER('Entrada Prod (semanal)'!I3),'Entrada Prod (semanal)'!I3,"")</f>
        <v>0</v>
      </c>
      <c r="L11" s="41"/>
      <c r="M11" s="35">
        <f>IF(H11&lt;&gt;0,K11*X11/H11,0)</f>
        <v>0</v>
      </c>
      <c r="N11" s="60">
        <f>IF(I11&lt;&gt;0,L11*Y11/I11,0)</f>
        <v>0</v>
      </c>
      <c r="O11" s="61">
        <f>IF(ISNUMBER(K11),K11*E11/100,"")</f>
        <v>0</v>
      </c>
      <c r="P11" s="108">
        <f>(L11*F11/100)</f>
        <v>0</v>
      </c>
      <c r="Q11" s="102">
        <f>IF(ISNUMBER(K11),E11/100*C11/100*7*K11/1000,"")</f>
        <v>0</v>
      </c>
      <c r="R11" s="103">
        <f>F11/100*D11/100*7*L11/1000</f>
        <v>0</v>
      </c>
      <c r="S11" s="244">
        <f>E11*C11/100</f>
        <v>0</v>
      </c>
      <c r="T11" s="135" t="str">
        <f>IF(ISNUMBER(F11),F11*D11/100,"")</f>
        <v/>
      </c>
      <c r="U11" s="168">
        <f>IF(ISNUMBER(G11),G11*C11/100,"")</f>
        <v>0</v>
      </c>
      <c r="V11" s="357"/>
      <c r="W11" s="357"/>
      <c r="X11" s="357">
        <f>H11</f>
        <v>0</v>
      </c>
      <c r="Y11" s="357">
        <f>I11</f>
        <v>0</v>
      </c>
      <c r="Z11" s="357" t="str">
        <f>IF(E11&gt;=90,E11,"" )</f>
        <v/>
      </c>
      <c r="AA11" s="357" t="str">
        <f>IF(E11&gt;0,(IF(F11&gt;=90,F11,"" )),"")</f>
        <v/>
      </c>
      <c r="AB11" s="350" t="s">
        <v>32</v>
      </c>
      <c r="AC11" s="350"/>
      <c r="AD11" s="350"/>
      <c r="AE11" s="357"/>
      <c r="AF11" s="286"/>
      <c r="AG11" s="287"/>
      <c r="AH11" s="287"/>
      <c r="AI11" s="287"/>
      <c r="AJ11" s="149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3"/>
      <c r="BU11" s="133"/>
      <c r="BV11" s="133"/>
      <c r="BW11" s="133"/>
      <c r="BX11" s="133"/>
      <c r="BY11" s="133"/>
      <c r="BZ11" s="133"/>
      <c r="CA11" s="133"/>
      <c r="CB11" s="133"/>
      <c r="CC11" s="133"/>
      <c r="CD11" s="133"/>
      <c r="CE11" s="133"/>
      <c r="CF11" s="133"/>
      <c r="CG11" s="133"/>
      <c r="CH11" s="133"/>
      <c r="CI11" s="133"/>
    </row>
    <row r="12" spans="1:87" s="17" customFormat="1" x14ac:dyDescent="0.25">
      <c r="A12" s="270">
        <v>16</v>
      </c>
      <c r="B12" s="48">
        <f t="array" ref="B12">IF(SUM('Entrada Prod (semanal)'!C$3:C$108)&gt;0,$Q$7-SUM('Entrada Prod (semanal)'!C$3:C4),IF(SUM('Entrada Prod (semanal)'!$D$3:D109)&gt;0,$Q$7-SUM('Entrada Prod (semanal)'!$D$3:D4)/100*$Q$7,$Q$7))</f>
        <v>0</v>
      </c>
      <c r="C12" s="36">
        <f>IF((Info!$J$5&gt;0),B12/$Q$7*100, )</f>
        <v>0</v>
      </c>
      <c r="D12" s="50"/>
      <c r="E12" s="85">
        <f t="array" ref="E12">IF(SUM('Entrada Prod (semanal)'!E$3:E$108)&gt;0,('Entrada Prod (semanal)'!E4)/7/B12*100,IF(SUM('Entrada Prod (semanal)'!$G$3:$G$108)&gt;0,('Entrada Prod (semanal)'!G4), ))</f>
        <v>0</v>
      </c>
      <c r="F12" s="183"/>
      <c r="G12" s="181">
        <f t="array" ref="G12">IF(SUM('Entrada Prod (semanal)'!F$3:F$108)&gt;0,('Entrada Prod (semanal)'!F4)/7/B12*100,IF(SUM('Entrada Prod (semanal)'!$H$3:$H$108)&gt;0,('Entrada Prod (semanal)'!H4), ))</f>
        <v>0</v>
      </c>
      <c r="H12" s="61">
        <f>7*S12/100+H11</f>
        <v>0</v>
      </c>
      <c r="I12" s="145">
        <f t="shared" ref="I12:J43" si="0">IF(ISNUMBER(T12),7*T12/100+I11, )</f>
        <v>0</v>
      </c>
      <c r="J12" s="169">
        <f t="shared" si="0"/>
        <v>0</v>
      </c>
      <c r="K12" s="61">
        <f>IF(ISNUMBER('Entrada Prod (semanal)'!I4),'Entrada Prod (semanal)'!I4,K11)</f>
        <v>0</v>
      </c>
      <c r="L12" s="41"/>
      <c r="M12" s="36">
        <f>IF(H12&lt;&gt;0,SUMPRODUCT(($K$11:K12)*($X$11:X12)/H12),0)</f>
        <v>0</v>
      </c>
      <c r="N12" s="60">
        <f>IF(I12&lt;&gt;0,SUMPRODUCT(($L$11:L12)*($Y$11:Y12)/I12),0)</f>
        <v>0</v>
      </c>
      <c r="O12" s="61">
        <f t="shared" ref="O12:O75" si="1">IF(ISNUMBER(K12),K12*E12/100,"")</f>
        <v>0</v>
      </c>
      <c r="P12" s="108">
        <f t="shared" ref="P12:P75" si="2">(L12*F12/100)</f>
        <v>0</v>
      </c>
      <c r="Q12" s="102">
        <f>IF(ISNUMBER(K12),E12/100*C12/100*7*K12/1000+Q11,"")</f>
        <v>0</v>
      </c>
      <c r="R12" s="103">
        <f>F12/100*D12/100*7*L12/1000+R11</f>
        <v>0</v>
      </c>
      <c r="S12" s="85">
        <f t="shared" ref="S12:S75" si="3">E12*C12/100</f>
        <v>0</v>
      </c>
      <c r="T12" s="135" t="str">
        <f t="shared" ref="T12:T75" si="4">IF(ISNUMBER(F12),F12*D12/100,"")</f>
        <v/>
      </c>
      <c r="U12" s="169">
        <f t="shared" ref="U12:U75" si="5">IF(ISNUMBER(G12),G12*C12/100,"")</f>
        <v>0</v>
      </c>
      <c r="V12" s="357"/>
      <c r="W12" s="357"/>
      <c r="X12" s="357">
        <f>H12-H11</f>
        <v>0</v>
      </c>
      <c r="Y12" s="357">
        <f>I12-I11</f>
        <v>0</v>
      </c>
      <c r="Z12" s="357" t="str">
        <f t="shared" ref="Z12:Z75" si="6">IF(E12&gt;=90,E12,"" )</f>
        <v/>
      </c>
      <c r="AA12" s="357" t="str">
        <f t="shared" ref="AA12:AA75" si="7">IF(E12&gt;0,(IF(F12&gt;=90,F12,"" )),"")</f>
        <v/>
      </c>
      <c r="AB12" s="350"/>
      <c r="AC12" s="350">
        <v>100</v>
      </c>
      <c r="AD12" s="350"/>
      <c r="AE12" s="357"/>
      <c r="AF12" s="286"/>
      <c r="AG12" s="287"/>
      <c r="AH12" s="287"/>
      <c r="AI12" s="287"/>
      <c r="AJ12" s="149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</row>
    <row r="13" spans="1:87" s="17" customFormat="1" x14ac:dyDescent="0.25">
      <c r="A13" s="270">
        <v>17</v>
      </c>
      <c r="B13" s="48">
        <f t="array" ref="B13">IF(SUM('Entrada Prod (semanal)'!C$3:C$108)&gt;0,$Q$7-SUM('Entrada Prod (semanal)'!C$3:C5),IF(SUM('Entrada Prod (semanal)'!$D$3:D110)&gt;0,$Q$7-SUM('Entrada Prod (semanal)'!$D$3:D5)/100*$Q$7,$Q$7))</f>
        <v>0</v>
      </c>
      <c r="C13" s="36">
        <f>IF((Info!$J$5&gt;0),B13/$Q$7*100, )</f>
        <v>0</v>
      </c>
      <c r="D13" s="50"/>
      <c r="E13" s="85">
        <f t="array" ref="E13">IF(SUM('Entrada Prod (semanal)'!E$3:E$108)&gt;0,('Entrada Prod (semanal)'!E5)/7/B13*100,IF(SUM('Entrada Prod (semanal)'!$G$3:$G$108)&gt;0,('Entrada Prod (semanal)'!G5), ))</f>
        <v>0</v>
      </c>
      <c r="F13" s="183"/>
      <c r="G13" s="181">
        <f t="array" ref="G13">IF(SUM('Entrada Prod (semanal)'!F$3:F$108)&gt;0,('Entrada Prod (semanal)'!F5)/7/B13*100,IF(SUM('Entrada Prod (semanal)'!$H$3:$H$108)&gt;0,('Entrada Prod (semanal)'!H5), ))</f>
        <v>0</v>
      </c>
      <c r="H13" s="61">
        <f t="shared" ref="H13:H28" si="8">7*S13/100+H12</f>
        <v>0</v>
      </c>
      <c r="I13" s="145">
        <f t="shared" si="0"/>
        <v>0</v>
      </c>
      <c r="J13" s="169">
        <f t="shared" si="0"/>
        <v>0</v>
      </c>
      <c r="K13" s="61">
        <f>IF(ISNUMBER('Entrada Prod (semanal)'!I5),'Entrada Prod (semanal)'!I5,K12)</f>
        <v>0</v>
      </c>
      <c r="L13" s="41"/>
      <c r="M13" s="36">
        <f>IF(H13&lt;&gt;0,SUMPRODUCT(($K$11:K13)*($X$11:X13)/H13),0)</f>
        <v>0</v>
      </c>
      <c r="N13" s="60">
        <f>IF(I13&lt;&gt;0,SUMPRODUCT(($L$11:L13)*($Y$11:Y13)/I13),0)</f>
        <v>0</v>
      </c>
      <c r="O13" s="61">
        <f t="shared" si="1"/>
        <v>0</v>
      </c>
      <c r="P13" s="108">
        <f t="shared" si="2"/>
        <v>0</v>
      </c>
      <c r="Q13" s="102">
        <f t="shared" ref="Q13:Q76" si="9">IF(ISNUMBER(K13),E13/100*C13/100*7*K13/1000+Q12,"")</f>
        <v>0</v>
      </c>
      <c r="R13" s="103">
        <f t="shared" ref="R13:R76" si="10">F13/100*D13/100*7*L13/1000+R12</f>
        <v>0</v>
      </c>
      <c r="S13" s="85">
        <f t="shared" si="3"/>
        <v>0</v>
      </c>
      <c r="T13" s="135" t="str">
        <f t="shared" si="4"/>
        <v/>
      </c>
      <c r="U13" s="169">
        <f t="shared" si="5"/>
        <v>0</v>
      </c>
      <c r="V13" s="357"/>
      <c r="W13" s="357"/>
      <c r="X13" s="357">
        <f t="shared" ref="X13:X44" si="11">H13-H12</f>
        <v>0</v>
      </c>
      <c r="Y13" s="357">
        <f t="shared" ref="Y13:Y76" si="12">I13-I12</f>
        <v>0</v>
      </c>
      <c r="Z13" s="357" t="str">
        <f t="shared" si="6"/>
        <v/>
      </c>
      <c r="AA13" s="357" t="str">
        <f t="shared" si="7"/>
        <v/>
      </c>
      <c r="AB13" s="350">
        <f>IF(H13&gt;H12,I13,AB12)</f>
        <v>0</v>
      </c>
      <c r="AC13" s="350">
        <f t="shared" ref="AC13:AC44" si="13">IF(C13&lt;C12,D13,AC12)</f>
        <v>100</v>
      </c>
      <c r="AD13" s="350">
        <f t="shared" ref="AD13:AD44" si="14">IF(M13&gt;M12,N13,AD12)</f>
        <v>0</v>
      </c>
      <c r="AE13" s="357">
        <f t="shared" ref="AE13:AE44" si="15">IF(O13&gt;0,R13,AE12)</f>
        <v>0</v>
      </c>
      <c r="AF13" s="286"/>
      <c r="AG13" s="287"/>
      <c r="AH13" s="287"/>
      <c r="AI13" s="287"/>
      <c r="AJ13" s="149"/>
      <c r="AK13" s="132"/>
      <c r="AL13" s="132"/>
      <c r="AM13" s="132"/>
      <c r="AN13" s="132"/>
      <c r="AO13" s="132"/>
      <c r="AP13" s="132"/>
      <c r="AQ13" s="132"/>
      <c r="AR13" s="132"/>
      <c r="AS13" s="132"/>
      <c r="AT13" s="132"/>
      <c r="AU13" s="132"/>
      <c r="AV13" s="132"/>
      <c r="AW13" s="132"/>
      <c r="AX13" s="132"/>
      <c r="AY13" s="132"/>
      <c r="AZ13" s="132"/>
      <c r="BA13" s="132"/>
      <c r="BB13" s="132"/>
      <c r="BC13" s="132"/>
      <c r="BD13" s="132"/>
      <c r="BE13" s="132"/>
      <c r="BF13" s="132"/>
      <c r="BG13" s="132"/>
      <c r="BH13" s="132"/>
      <c r="BI13" s="132"/>
      <c r="BJ13" s="132"/>
      <c r="BK13" s="132"/>
      <c r="BL13" s="132"/>
      <c r="BM13" s="132"/>
      <c r="BN13" s="132"/>
      <c r="BO13" s="132"/>
      <c r="BP13" s="132"/>
      <c r="BQ13" s="132"/>
      <c r="BR13" s="132"/>
      <c r="BS13" s="132"/>
      <c r="BT13" s="133"/>
      <c r="BU13" s="133"/>
      <c r="BV13" s="133"/>
      <c r="BW13" s="133"/>
      <c r="BX13" s="133"/>
      <c r="BY13" s="133"/>
      <c r="BZ13" s="133"/>
      <c r="CA13" s="133"/>
      <c r="CB13" s="133"/>
      <c r="CC13" s="133"/>
      <c r="CD13" s="133"/>
      <c r="CE13" s="133"/>
      <c r="CF13" s="133"/>
      <c r="CG13" s="133"/>
      <c r="CH13" s="133"/>
      <c r="CI13" s="133"/>
    </row>
    <row r="14" spans="1:87" s="17" customFormat="1" x14ac:dyDescent="0.25">
      <c r="A14" s="270">
        <v>18</v>
      </c>
      <c r="B14" s="48">
        <f t="array" ref="B14">IF(SUM('Entrada Prod (semanal)'!C$3:C$108)&gt;0,$Q$7-SUM('Entrada Prod (semanal)'!C$3:C6),IF(SUM('Entrada Prod (semanal)'!$D$3:D111)&gt;0,$Q$7-SUM('Entrada Prod (semanal)'!$D$3:D6)/100*$Q$7,$Q$7))</f>
        <v>0</v>
      </c>
      <c r="C14" s="36">
        <f>IF((Info!$J$5&gt;0),B14/$Q$7*100, )</f>
        <v>0</v>
      </c>
      <c r="D14" s="50"/>
      <c r="E14" s="85">
        <f t="array" ref="E14">IF(SUM('Entrada Prod (semanal)'!E$3:E$108)&gt;0,('Entrada Prod (semanal)'!E6)/7/B14*100,IF(SUM('Entrada Prod (semanal)'!$G$3:$G$108)&gt;0,('Entrada Prod (semanal)'!G6), ))</f>
        <v>0</v>
      </c>
      <c r="F14" s="183"/>
      <c r="G14" s="181">
        <f t="array" ref="G14">IF(SUM('Entrada Prod (semanal)'!F$3:F$108)&gt;0,('Entrada Prod (semanal)'!F6)/7/B14*100,IF(SUM('Entrada Prod (semanal)'!$H$3:$H$108)&gt;0,('Entrada Prod (semanal)'!H6), ))</f>
        <v>0</v>
      </c>
      <c r="H14" s="61">
        <f t="shared" si="8"/>
        <v>0</v>
      </c>
      <c r="I14" s="145">
        <f t="shared" si="0"/>
        <v>0</v>
      </c>
      <c r="J14" s="169">
        <f t="shared" si="0"/>
        <v>0</v>
      </c>
      <c r="K14" s="61">
        <f>IF(ISNUMBER('Entrada Prod (semanal)'!I6),'Entrada Prod (semanal)'!I6,K13)</f>
        <v>0</v>
      </c>
      <c r="L14" s="41"/>
      <c r="M14" s="36">
        <f>IF(H14&lt;&gt;0,SUMPRODUCT(($K$11:K14)*($X$11:X14)/H14),0)</f>
        <v>0</v>
      </c>
      <c r="N14" s="60">
        <f>IF(I14&lt;&gt;0,SUMPRODUCT(($L$11:L14)*($Y$11:Y14)/I14),0)</f>
        <v>0</v>
      </c>
      <c r="O14" s="61">
        <f t="shared" si="1"/>
        <v>0</v>
      </c>
      <c r="P14" s="108">
        <f t="shared" si="2"/>
        <v>0</v>
      </c>
      <c r="Q14" s="102">
        <f t="shared" si="9"/>
        <v>0</v>
      </c>
      <c r="R14" s="103">
        <f t="shared" si="10"/>
        <v>0</v>
      </c>
      <c r="S14" s="85">
        <f t="shared" si="3"/>
        <v>0</v>
      </c>
      <c r="T14" s="135" t="str">
        <f t="shared" si="4"/>
        <v/>
      </c>
      <c r="U14" s="169">
        <f t="shared" si="5"/>
        <v>0</v>
      </c>
      <c r="V14" s="357"/>
      <c r="W14" s="357"/>
      <c r="X14" s="357">
        <f t="shared" si="11"/>
        <v>0</v>
      </c>
      <c r="Y14" s="357">
        <f t="shared" si="12"/>
        <v>0</v>
      </c>
      <c r="Z14" s="357" t="str">
        <f t="shared" si="6"/>
        <v/>
      </c>
      <c r="AA14" s="357" t="str">
        <f t="shared" si="7"/>
        <v/>
      </c>
      <c r="AB14" s="350">
        <f t="shared" ref="AB14:AB77" si="16">IF(H14&gt;H13,I14,AB13)</f>
        <v>0</v>
      </c>
      <c r="AC14" s="350">
        <f t="shared" si="13"/>
        <v>100</v>
      </c>
      <c r="AD14" s="350">
        <f t="shared" si="14"/>
        <v>0</v>
      </c>
      <c r="AE14" s="357">
        <f t="shared" si="15"/>
        <v>0</v>
      </c>
      <c r="AF14" s="286"/>
      <c r="AG14" s="287"/>
      <c r="AH14" s="287"/>
      <c r="AI14" s="287"/>
      <c r="AJ14" s="149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3"/>
      <c r="BU14" s="133"/>
      <c r="BV14" s="133"/>
      <c r="BW14" s="133"/>
      <c r="BX14" s="133"/>
      <c r="BY14" s="133"/>
      <c r="BZ14" s="133"/>
      <c r="CA14" s="133"/>
      <c r="CB14" s="133"/>
      <c r="CC14" s="133"/>
      <c r="CD14" s="133"/>
      <c r="CE14" s="133"/>
      <c r="CF14" s="133"/>
      <c r="CG14" s="133"/>
      <c r="CH14" s="133"/>
      <c r="CI14" s="133"/>
    </row>
    <row r="15" spans="1:87" s="17" customFormat="1" x14ac:dyDescent="0.25">
      <c r="A15" s="270">
        <v>19</v>
      </c>
      <c r="B15" s="48">
        <f t="array" ref="B15">IF(SUM('Entrada Prod (semanal)'!C$3:C$108)&gt;0,$Q$7-SUM('Entrada Prod (semanal)'!C$3:C7),IF(SUM('Entrada Prod (semanal)'!$D$3:D112)&gt;0,$Q$7-SUM('Entrada Prod (semanal)'!$D$3:D7)/100*$Q$7,$Q$7))</f>
        <v>0</v>
      </c>
      <c r="C15" s="36">
        <f>IF((Info!$J$5&gt;0),B15/$Q$7*100, )</f>
        <v>0</v>
      </c>
      <c r="D15" s="50">
        <v>99.9</v>
      </c>
      <c r="E15" s="85">
        <f t="array" ref="E15">IF(SUM('Entrada Prod (semanal)'!E$3:E$108)&gt;0,('Entrada Prod (semanal)'!E7)/7/B15*100,IF(SUM('Entrada Prod (semanal)'!$G$3:$G$108)&gt;0,('Entrada Prod (semanal)'!G7), ))</f>
        <v>0</v>
      </c>
      <c r="F15" s="183">
        <v>10.01001001001001</v>
      </c>
      <c r="G15" s="181">
        <f t="array" ref="G15">IF(SUM('Entrada Prod (semanal)'!F$3:F$108)&gt;0,('Entrada Prod (semanal)'!F7)/7/B15*100,IF(SUM('Entrada Prod (semanal)'!$H$3:$H$108)&gt;0,('Entrada Prod (semanal)'!H7), ))</f>
        <v>0</v>
      </c>
      <c r="H15" s="61">
        <f t="shared" si="8"/>
        <v>0</v>
      </c>
      <c r="I15" s="145">
        <f t="shared" si="0"/>
        <v>0.7</v>
      </c>
      <c r="J15" s="169">
        <f t="shared" si="0"/>
        <v>0</v>
      </c>
      <c r="K15" s="61">
        <f>IF(ISNUMBER('Entrada Prod (semanal)'!I7),'Entrada Prod (semanal)'!I7,K14)</f>
        <v>0</v>
      </c>
      <c r="L15" s="41">
        <v>45</v>
      </c>
      <c r="M15" s="36">
        <f>IF(H15&lt;&gt;0,SUMPRODUCT(($K$11:K15)*($X$11:X15)/H15),0)</f>
        <v>0</v>
      </c>
      <c r="N15" s="60">
        <f>IF(I15&lt;&gt;0,SUMPRODUCT(($L$11:L15)*($Y$11:Y15)/I15),0)</f>
        <v>45</v>
      </c>
      <c r="O15" s="61">
        <f t="shared" si="1"/>
        <v>0</v>
      </c>
      <c r="P15" s="108">
        <f t="shared" si="2"/>
        <v>4.5045045045045047</v>
      </c>
      <c r="Q15" s="102">
        <f t="shared" si="9"/>
        <v>0</v>
      </c>
      <c r="R15" s="103">
        <f t="shared" si="10"/>
        <v>3.1500000000000007E-2</v>
      </c>
      <c r="S15" s="85">
        <f t="shared" si="3"/>
        <v>0</v>
      </c>
      <c r="T15" s="135">
        <f t="shared" si="4"/>
        <v>10</v>
      </c>
      <c r="U15" s="169">
        <f t="shared" si="5"/>
        <v>0</v>
      </c>
      <c r="V15" s="352">
        <f>F15-F15*0.07</f>
        <v>9.3093093093093096</v>
      </c>
      <c r="W15" s="352">
        <f>F15+F15*0.03-V15</f>
        <v>1.0010010010010006</v>
      </c>
      <c r="X15" s="357">
        <f t="shared" si="11"/>
        <v>0</v>
      </c>
      <c r="Y15" s="357">
        <f t="shared" si="12"/>
        <v>0.7</v>
      </c>
      <c r="Z15" s="357" t="str">
        <f t="shared" si="6"/>
        <v/>
      </c>
      <c r="AA15" s="357" t="str">
        <f t="shared" si="7"/>
        <v/>
      </c>
      <c r="AB15" s="350">
        <f t="shared" si="16"/>
        <v>0</v>
      </c>
      <c r="AC15" s="350">
        <f t="shared" si="13"/>
        <v>100</v>
      </c>
      <c r="AD15" s="350">
        <f t="shared" si="14"/>
        <v>0</v>
      </c>
      <c r="AE15" s="357">
        <f t="shared" si="15"/>
        <v>0</v>
      </c>
      <c r="AF15" s="286"/>
      <c r="AG15" s="287"/>
      <c r="AH15" s="287"/>
      <c r="AI15" s="287"/>
      <c r="AJ15" s="149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3"/>
      <c r="BU15" s="133"/>
      <c r="BV15" s="133"/>
      <c r="BW15" s="133"/>
      <c r="BX15" s="133"/>
      <c r="BY15" s="133"/>
      <c r="BZ15" s="133"/>
      <c r="CA15" s="133"/>
      <c r="CB15" s="133"/>
      <c r="CC15" s="133"/>
      <c r="CD15" s="133"/>
      <c r="CE15" s="133"/>
      <c r="CF15" s="133"/>
      <c r="CG15" s="133"/>
      <c r="CH15" s="133"/>
      <c r="CI15" s="133"/>
    </row>
    <row r="16" spans="1:87" s="17" customFormat="1" x14ac:dyDescent="0.25">
      <c r="A16" s="270">
        <v>20</v>
      </c>
      <c r="B16" s="48">
        <f t="array" ref="B16">IF(SUM('Entrada Prod (semanal)'!C$3:C$108)&gt;0,$Q$7-SUM('Entrada Prod (semanal)'!C$3:C8),IF(SUM('Entrada Prod (semanal)'!$D$3:D113)&gt;0,$Q$7-SUM('Entrada Prod (semanal)'!$D$3:D8)/100*$Q$7,$Q$7))</f>
        <v>0</v>
      </c>
      <c r="C16" s="36">
        <f>IF((Info!$J$5&gt;0),B16/$Q$7*100, )</f>
        <v>0</v>
      </c>
      <c r="D16" s="51">
        <v>99.9</v>
      </c>
      <c r="E16" s="85">
        <f t="array" ref="E16">IF(SUM('Entrada Prod (semanal)'!E$3:E$108)&gt;0,('Entrada Prod (semanal)'!E8)/7/B16*100,IF(SUM('Entrada Prod (semanal)'!$G$3:$G$108)&gt;0,('Entrada Prod (semanal)'!G8), ))</f>
        <v>0</v>
      </c>
      <c r="F16" s="184">
        <v>45.045045045045043</v>
      </c>
      <c r="G16" s="181">
        <f t="array" ref="G16">IF(SUM('Entrada Prod (semanal)'!F$3:F$108)&gt;0,('Entrada Prod (semanal)'!F8)/7/B16*100,IF(SUM('Entrada Prod (semanal)'!$H$3:$H$108)&gt;0,('Entrada Prod (semanal)'!H8), ))</f>
        <v>0</v>
      </c>
      <c r="H16" s="61">
        <f t="shared" si="8"/>
        <v>0</v>
      </c>
      <c r="I16" s="145">
        <f t="shared" si="0"/>
        <v>3.8499999999999996</v>
      </c>
      <c r="J16" s="169">
        <f t="shared" si="0"/>
        <v>0</v>
      </c>
      <c r="K16" s="61">
        <f>IF(ISNUMBER('Entrada Prod (semanal)'!I8),'Entrada Prod (semanal)'!I8,K15)</f>
        <v>0</v>
      </c>
      <c r="L16" s="43">
        <v>47.5</v>
      </c>
      <c r="M16" s="36">
        <f>IF(H16&lt;&gt;0,SUMPRODUCT(($K$11:K16)*($X$11:X16)/H16),0)</f>
        <v>0</v>
      </c>
      <c r="N16" s="60">
        <f>IF(I16&lt;&gt;0,SUMPRODUCT(($L$11:L16)*($Y$11:Y16)/I16),0)</f>
        <v>47.04545454545454</v>
      </c>
      <c r="O16" s="61">
        <f t="shared" si="1"/>
        <v>0</v>
      </c>
      <c r="P16" s="109">
        <f t="shared" si="2"/>
        <v>21.396396396396394</v>
      </c>
      <c r="Q16" s="102">
        <f t="shared" si="9"/>
        <v>0</v>
      </c>
      <c r="R16" s="103">
        <f t="shared" si="10"/>
        <v>0.18112500000000001</v>
      </c>
      <c r="S16" s="85">
        <f t="shared" si="3"/>
        <v>0</v>
      </c>
      <c r="T16" s="136">
        <f t="shared" si="4"/>
        <v>45</v>
      </c>
      <c r="U16" s="169">
        <f t="shared" si="5"/>
        <v>0</v>
      </c>
      <c r="V16" s="352">
        <f t="shared" ref="V16:V79" si="17">F16-F16*0.07</f>
        <v>41.891891891891888</v>
      </c>
      <c r="W16" s="352">
        <f t="shared" ref="W16:W79" si="18">F16+F16*0.03-V16</f>
        <v>4.50450450450451</v>
      </c>
      <c r="X16" s="357">
        <f t="shared" si="11"/>
        <v>0</v>
      </c>
      <c r="Y16" s="357">
        <f t="shared" si="12"/>
        <v>3.1499999999999995</v>
      </c>
      <c r="Z16" s="357" t="str">
        <f t="shared" si="6"/>
        <v/>
      </c>
      <c r="AA16" s="357" t="str">
        <f t="shared" si="7"/>
        <v/>
      </c>
      <c r="AB16" s="350">
        <f t="shared" si="16"/>
        <v>0</v>
      </c>
      <c r="AC16" s="350">
        <f t="shared" si="13"/>
        <v>100</v>
      </c>
      <c r="AD16" s="350">
        <f t="shared" si="14"/>
        <v>0</v>
      </c>
      <c r="AE16" s="357">
        <f t="shared" si="15"/>
        <v>0</v>
      </c>
      <c r="AF16" s="286"/>
      <c r="AG16" s="287"/>
      <c r="AH16" s="287"/>
      <c r="AI16" s="287"/>
      <c r="AJ16" s="149"/>
      <c r="AK16" s="132"/>
      <c r="AL16" s="132"/>
      <c r="AM16" s="132"/>
      <c r="AN16" s="132"/>
      <c r="AO16" s="132"/>
      <c r="AP16" s="132"/>
      <c r="AQ16" s="132"/>
      <c r="AR16" s="132"/>
      <c r="AS16" s="132"/>
      <c r="AT16" s="132"/>
      <c r="AU16" s="132"/>
      <c r="AV16" s="132"/>
      <c r="AW16" s="132"/>
      <c r="AX16" s="132"/>
      <c r="AY16" s="132"/>
      <c r="AZ16" s="132"/>
      <c r="BA16" s="132"/>
      <c r="BB16" s="132"/>
      <c r="BC16" s="132"/>
      <c r="BD16" s="132"/>
      <c r="BE16" s="132"/>
      <c r="BF16" s="132"/>
      <c r="BG16" s="132"/>
      <c r="BH16" s="132"/>
      <c r="BI16" s="132"/>
      <c r="BJ16" s="132"/>
      <c r="BK16" s="132"/>
      <c r="BL16" s="132"/>
      <c r="BM16" s="132"/>
      <c r="BN16" s="132"/>
      <c r="BO16" s="132"/>
      <c r="BP16" s="132"/>
      <c r="BQ16" s="132"/>
      <c r="BR16" s="132"/>
      <c r="BS16" s="132"/>
      <c r="BT16" s="133"/>
      <c r="BU16" s="133"/>
      <c r="BV16" s="133"/>
      <c r="BW16" s="133"/>
      <c r="BX16" s="133"/>
      <c r="BY16" s="133"/>
      <c r="BZ16" s="133"/>
      <c r="CA16" s="133"/>
      <c r="CB16" s="133"/>
      <c r="CC16" s="133"/>
      <c r="CD16" s="133"/>
      <c r="CE16" s="133"/>
      <c r="CF16" s="133"/>
      <c r="CG16" s="133"/>
      <c r="CH16" s="133"/>
      <c r="CI16" s="133"/>
    </row>
    <row r="17" spans="1:31" x14ac:dyDescent="0.25">
      <c r="A17" s="270">
        <v>21</v>
      </c>
      <c r="B17" s="48">
        <f t="array" ref="B17">IF(SUM('Entrada Prod (semanal)'!C$3:C$108)&gt;0,$Q$7-SUM('Entrada Prod (semanal)'!C$3:C9),IF(SUM('Entrada Prod (semanal)'!$D$3:D114)&gt;0,$Q$7-SUM('Entrada Prod (semanal)'!$D$3:D9)/100*$Q$7,$Q$7))</f>
        <v>0</v>
      </c>
      <c r="C17" s="36">
        <f>IF((Info!$J$5&gt;0),B17/$Q$7*100, )</f>
        <v>0</v>
      </c>
      <c r="D17" s="51">
        <v>99.800000000000011</v>
      </c>
      <c r="E17" s="85">
        <f t="array" ref="E17">IF(SUM('Entrada Prod (semanal)'!E$3:E$108)&gt;0,('Entrada Prod (semanal)'!E9)/7/B17*100,IF(SUM('Entrada Prod (semanal)'!$G$3:$G$108)&gt;0,('Entrada Prod (semanal)'!G9), ))</f>
        <v>0</v>
      </c>
      <c r="F17" s="184">
        <v>65.130260521042075</v>
      </c>
      <c r="G17" s="181">
        <f t="array" ref="G17">IF(SUM('Entrada Prod (semanal)'!F$3:F$108)&gt;0,('Entrada Prod (semanal)'!F9)/7/B17*100,IF(SUM('Entrada Prod (semanal)'!$H$3:$H$108)&gt;0,('Entrada Prod (semanal)'!H9), ))</f>
        <v>0</v>
      </c>
      <c r="H17" s="61">
        <f t="shared" si="8"/>
        <v>0</v>
      </c>
      <c r="I17" s="145">
        <f t="shared" si="0"/>
        <v>8.3999999999999986</v>
      </c>
      <c r="J17" s="169">
        <f t="shared" si="0"/>
        <v>0</v>
      </c>
      <c r="K17" s="61">
        <f>IF(ISNUMBER('Entrada Prod (semanal)'!I9),'Entrada Prod (semanal)'!I9,K16)</f>
        <v>0</v>
      </c>
      <c r="L17" s="43">
        <v>50</v>
      </c>
      <c r="M17" s="36">
        <f>IF(H17&lt;&gt;0,SUMPRODUCT(($K$11:K17)*($X$11:X17)/H17),0)</f>
        <v>0</v>
      </c>
      <c r="N17" s="60">
        <f>IF(I17&lt;&gt;0,SUMPRODUCT(($L$11:L17)*($Y$11:Y17)/I17),0)</f>
        <v>48.645833333333329</v>
      </c>
      <c r="O17" s="61">
        <f t="shared" si="1"/>
        <v>0</v>
      </c>
      <c r="P17" s="109">
        <f t="shared" si="2"/>
        <v>32.565130260521038</v>
      </c>
      <c r="Q17" s="102">
        <f t="shared" si="9"/>
        <v>0</v>
      </c>
      <c r="R17" s="103">
        <f t="shared" si="10"/>
        <v>0.40862500000000002</v>
      </c>
      <c r="S17" s="85">
        <f t="shared" si="3"/>
        <v>0</v>
      </c>
      <c r="T17" s="136">
        <f t="shared" si="4"/>
        <v>65</v>
      </c>
      <c r="U17" s="169">
        <f t="shared" si="5"/>
        <v>0</v>
      </c>
      <c r="V17" s="352">
        <f t="shared" si="17"/>
        <v>60.571142284569127</v>
      </c>
      <c r="W17" s="352">
        <f t="shared" si="18"/>
        <v>6.513026052104216</v>
      </c>
      <c r="X17" s="357">
        <f t="shared" si="11"/>
        <v>0</v>
      </c>
      <c r="Y17" s="357">
        <f t="shared" si="12"/>
        <v>4.5499999999999989</v>
      </c>
      <c r="Z17" s="357" t="str">
        <f t="shared" si="6"/>
        <v/>
      </c>
      <c r="AA17" s="357" t="str">
        <f t="shared" si="7"/>
        <v/>
      </c>
      <c r="AB17" s="350">
        <f t="shared" si="16"/>
        <v>0</v>
      </c>
      <c r="AC17" s="350">
        <f t="shared" si="13"/>
        <v>100</v>
      </c>
      <c r="AD17" s="350">
        <f t="shared" si="14"/>
        <v>0</v>
      </c>
      <c r="AE17" s="357">
        <f t="shared" si="15"/>
        <v>0</v>
      </c>
    </row>
    <row r="18" spans="1:31" x14ac:dyDescent="0.25">
      <c r="A18" s="270">
        <v>22</v>
      </c>
      <c r="B18" s="48">
        <f t="array" ref="B18">IF(SUM('Entrada Prod (semanal)'!C$3:C$108)&gt;0,$Q$7-SUM('Entrada Prod (semanal)'!C$3:C10),IF(SUM('Entrada Prod (semanal)'!$D$3:D115)&gt;0,$Q$7-SUM('Entrada Prod (semanal)'!$D$3:D10)/100*$Q$7,$Q$7))</f>
        <v>0</v>
      </c>
      <c r="C18" s="36">
        <f>IF((Info!$J$5&gt;0),B18/$Q$7*100, )</f>
        <v>0</v>
      </c>
      <c r="D18" s="51">
        <v>99.7</v>
      </c>
      <c r="E18" s="85">
        <f t="array" ref="E18">IF(SUM('Entrada Prod (semanal)'!E$3:E$108)&gt;0,('Entrada Prod (semanal)'!E10)/7/B18*100,IF(SUM('Entrada Prod (semanal)'!$G$3:$G$108)&gt;0,('Entrada Prod (semanal)'!G10), ))</f>
        <v>0</v>
      </c>
      <c r="F18" s="184">
        <v>80.240722166499495</v>
      </c>
      <c r="G18" s="181">
        <f t="array" ref="G18">IF(SUM('Entrada Prod (semanal)'!F$3:F$108)&gt;0,('Entrada Prod (semanal)'!F10)/7/B18*100,IF(SUM('Entrada Prod (semanal)'!$H$3:$H$108)&gt;0,('Entrada Prod (semanal)'!H10), ))</f>
        <v>0</v>
      </c>
      <c r="H18" s="61">
        <f t="shared" si="8"/>
        <v>0</v>
      </c>
      <c r="I18" s="145">
        <f t="shared" si="0"/>
        <v>13.999999999999998</v>
      </c>
      <c r="J18" s="169">
        <f t="shared" si="0"/>
        <v>0</v>
      </c>
      <c r="K18" s="61">
        <f>IF(ISNUMBER('Entrada Prod (semanal)'!I10),'Entrada Prod (semanal)'!I10,K17)</f>
        <v>0</v>
      </c>
      <c r="L18" s="43">
        <v>52.5</v>
      </c>
      <c r="M18" s="36">
        <f>IF(H18&lt;&gt;0,SUMPRODUCT(($K$11:K18)*($X$11:X18)/H18),0)</f>
        <v>0</v>
      </c>
      <c r="N18" s="60">
        <f>IF(I18&lt;&gt;0,SUMPRODUCT(($L$11:L18)*($Y$11:Y18)/I18),0)</f>
        <v>50.1875</v>
      </c>
      <c r="O18" s="61">
        <f t="shared" si="1"/>
        <v>0</v>
      </c>
      <c r="P18" s="109">
        <f t="shared" si="2"/>
        <v>42.126379137412229</v>
      </c>
      <c r="Q18" s="102">
        <f t="shared" si="9"/>
        <v>0</v>
      </c>
      <c r="R18" s="103">
        <f t="shared" si="10"/>
        <v>0.70262500000000006</v>
      </c>
      <c r="S18" s="85">
        <f t="shared" si="3"/>
        <v>0</v>
      </c>
      <c r="T18" s="136">
        <f t="shared" si="4"/>
        <v>80</v>
      </c>
      <c r="U18" s="169">
        <f t="shared" si="5"/>
        <v>0</v>
      </c>
      <c r="V18" s="352">
        <f t="shared" si="17"/>
        <v>74.623871614844532</v>
      </c>
      <c r="W18" s="352">
        <f t="shared" si="18"/>
        <v>8.024072216649941</v>
      </c>
      <c r="X18" s="357">
        <f t="shared" si="11"/>
        <v>0</v>
      </c>
      <c r="Y18" s="357">
        <f t="shared" si="12"/>
        <v>5.6</v>
      </c>
      <c r="Z18" s="357" t="str">
        <f t="shared" si="6"/>
        <v/>
      </c>
      <c r="AA18" s="357" t="str">
        <f t="shared" si="7"/>
        <v/>
      </c>
      <c r="AB18" s="350">
        <f t="shared" si="16"/>
        <v>0</v>
      </c>
      <c r="AC18" s="350">
        <f t="shared" si="13"/>
        <v>100</v>
      </c>
      <c r="AD18" s="350">
        <f t="shared" si="14"/>
        <v>0</v>
      </c>
      <c r="AE18" s="357">
        <f t="shared" si="15"/>
        <v>0</v>
      </c>
    </row>
    <row r="19" spans="1:31" x14ac:dyDescent="0.25">
      <c r="A19" s="270">
        <v>23</v>
      </c>
      <c r="B19" s="48">
        <f t="array" ref="B19">IF(SUM('Entrada Prod (semanal)'!C$3:C$108)&gt;0,$Q$7-SUM('Entrada Prod (semanal)'!C$3:C11),IF(SUM('Entrada Prod (semanal)'!$D$3:D116)&gt;0,$Q$7-SUM('Entrada Prod (semanal)'!$D$3:D11)/100*$Q$7,$Q$7))</f>
        <v>0</v>
      </c>
      <c r="C19" s="36">
        <f>IF((Info!$J$5&gt;0),B19/$Q$7*100, )</f>
        <v>0</v>
      </c>
      <c r="D19" s="51">
        <v>99.600000000000009</v>
      </c>
      <c r="E19" s="85">
        <f t="array" ref="E19">IF(SUM('Entrada Prod (semanal)'!E$3:E$108)&gt;0,('Entrada Prod (semanal)'!E11)/7/B19*100,IF(SUM('Entrada Prod (semanal)'!$G$3:$G$108)&gt;0,('Entrada Prod (semanal)'!G11), ))</f>
        <v>0</v>
      </c>
      <c r="F19" s="184">
        <v>88.353413654618464</v>
      </c>
      <c r="G19" s="181">
        <f t="array" ref="G19">IF(SUM('Entrada Prod (semanal)'!F$3:F$108)&gt;0,('Entrada Prod (semanal)'!F11)/7/B19*100,IF(SUM('Entrada Prod (semanal)'!$H$3:$H$108)&gt;0,('Entrada Prod (semanal)'!H11), ))</f>
        <v>0</v>
      </c>
      <c r="H19" s="61">
        <f t="shared" si="8"/>
        <v>0</v>
      </c>
      <c r="I19" s="145">
        <f t="shared" si="0"/>
        <v>20.159999999999997</v>
      </c>
      <c r="J19" s="169">
        <f t="shared" si="0"/>
        <v>0</v>
      </c>
      <c r="K19" s="61">
        <f>IF(ISNUMBER('Entrada Prod (semanal)'!I11),'Entrada Prod (semanal)'!I11,K18)</f>
        <v>0</v>
      </c>
      <c r="L19" s="43">
        <v>54.7</v>
      </c>
      <c r="M19" s="36">
        <f>IF(H19&lt;&gt;0,SUMPRODUCT(($K$11:K19)*($X$11:X19)/H19),0)</f>
        <v>0</v>
      </c>
      <c r="N19" s="60">
        <f>IF(I19&lt;&gt;0,SUMPRODUCT(($L$11:L19)*($Y$11:Y19)/I19),0)</f>
        <v>51.566319444444446</v>
      </c>
      <c r="O19" s="61">
        <f t="shared" si="1"/>
        <v>0</v>
      </c>
      <c r="P19" s="109">
        <f t="shared" si="2"/>
        <v>48.329317269076299</v>
      </c>
      <c r="Q19" s="102">
        <f t="shared" si="9"/>
        <v>0</v>
      </c>
      <c r="R19" s="103">
        <f t="shared" si="10"/>
        <v>1.039577</v>
      </c>
      <c r="S19" s="85">
        <f t="shared" si="3"/>
        <v>0</v>
      </c>
      <c r="T19" s="136">
        <f t="shared" si="4"/>
        <v>88</v>
      </c>
      <c r="U19" s="169">
        <f t="shared" si="5"/>
        <v>0</v>
      </c>
      <c r="V19" s="352">
        <f t="shared" si="17"/>
        <v>82.168674698795172</v>
      </c>
      <c r="W19" s="352">
        <f t="shared" si="18"/>
        <v>8.8353413654618436</v>
      </c>
      <c r="X19" s="357">
        <f t="shared" si="11"/>
        <v>0</v>
      </c>
      <c r="Y19" s="357">
        <f t="shared" si="12"/>
        <v>6.1599999999999984</v>
      </c>
      <c r="Z19" s="357" t="str">
        <f t="shared" si="6"/>
        <v/>
      </c>
      <c r="AA19" s="357" t="str">
        <f t="shared" si="7"/>
        <v/>
      </c>
      <c r="AB19" s="350">
        <f t="shared" si="16"/>
        <v>0</v>
      </c>
      <c r="AC19" s="350">
        <f t="shared" si="13"/>
        <v>100</v>
      </c>
      <c r="AD19" s="350">
        <f t="shared" si="14"/>
        <v>0</v>
      </c>
      <c r="AE19" s="357">
        <f t="shared" si="15"/>
        <v>0</v>
      </c>
    </row>
    <row r="20" spans="1:31" x14ac:dyDescent="0.25">
      <c r="A20" s="271">
        <v>24</v>
      </c>
      <c r="B20" s="49">
        <f t="array" ref="B20">IF(SUM('Entrada Prod (semanal)'!C$3:C$108)&gt;0,$Q$7-SUM('Entrada Prod (semanal)'!C$3:C12),IF(SUM('Entrada Prod (semanal)'!$D$3:D117)&gt;0,$Q$7-SUM('Entrada Prod (semanal)'!$D$3:D12)/100*$Q$7,$Q$7))</f>
        <v>0</v>
      </c>
      <c r="C20" s="37">
        <f>IF((Info!$J$5&gt;0),B20/$Q$7*100, )</f>
        <v>0</v>
      </c>
      <c r="D20" s="52">
        <v>99.5</v>
      </c>
      <c r="E20" s="86">
        <f t="array" ref="E20">IF(SUM('Entrada Prod (semanal)'!E$3:E$108)&gt;0,('Entrada Prod (semanal)'!E12)/7/B20*100,IF(SUM('Entrada Prod (semanal)'!$G$3:$G$108)&gt;0,('Entrada Prod (semanal)'!G12), ))</f>
        <v>0</v>
      </c>
      <c r="F20" s="185">
        <v>91.959798994974875</v>
      </c>
      <c r="G20" s="182">
        <f t="array" ref="G20">IF(SUM('Entrada Prod (semanal)'!F$3:F$108)&gt;0,('Entrada Prod (semanal)'!F12)/7/B20*100,IF(SUM('Entrada Prod (semanal)'!$H$3:$H$108)&gt;0,('Entrada Prod (semanal)'!H12), ))</f>
        <v>0</v>
      </c>
      <c r="H20" s="62">
        <f t="shared" si="8"/>
        <v>0</v>
      </c>
      <c r="I20" s="146">
        <f t="shared" si="0"/>
        <v>26.564999999999998</v>
      </c>
      <c r="J20" s="170">
        <f t="shared" si="0"/>
        <v>0</v>
      </c>
      <c r="K20" s="62">
        <f>IF(ISNUMBER('Entrada Prod (semanal)'!I12),'Entrada Prod (semanal)'!I12,K19)</f>
        <v>0</v>
      </c>
      <c r="L20" s="45">
        <v>56.5</v>
      </c>
      <c r="M20" s="37">
        <f>IF(H20&lt;&gt;0,SUMPRODUCT(($K$11:K20)*($X$11:X20)/H20),0)</f>
        <v>0</v>
      </c>
      <c r="N20" s="63">
        <f>IF(I20&lt;&gt;0,SUMPRODUCT(($L$11:L20)*($Y$11:Y20)/I20),0)</f>
        <v>52.755862977602106</v>
      </c>
      <c r="O20" s="62">
        <f t="shared" si="1"/>
        <v>0</v>
      </c>
      <c r="P20" s="82">
        <f t="shared" si="2"/>
        <v>51.957286432160807</v>
      </c>
      <c r="Q20" s="104">
        <f t="shared" si="9"/>
        <v>0</v>
      </c>
      <c r="R20" s="105">
        <f t="shared" si="10"/>
        <v>1.4014595000000001</v>
      </c>
      <c r="S20" s="86">
        <f t="shared" si="3"/>
        <v>0</v>
      </c>
      <c r="T20" s="384">
        <f t="shared" si="4"/>
        <v>91.5</v>
      </c>
      <c r="U20" s="170">
        <f t="shared" si="5"/>
        <v>0</v>
      </c>
      <c r="V20" s="352">
        <f t="shared" si="17"/>
        <v>85.522613065326638</v>
      </c>
      <c r="W20" s="352">
        <f t="shared" si="18"/>
        <v>9.1959798994974875</v>
      </c>
      <c r="X20" s="357">
        <f t="shared" si="11"/>
        <v>0</v>
      </c>
      <c r="Y20" s="357">
        <f t="shared" si="12"/>
        <v>6.4050000000000011</v>
      </c>
      <c r="Z20" s="357" t="str">
        <f t="shared" si="6"/>
        <v/>
      </c>
      <c r="AA20" s="357" t="str">
        <f t="shared" si="7"/>
        <v/>
      </c>
      <c r="AB20" s="350">
        <f t="shared" si="16"/>
        <v>0</v>
      </c>
      <c r="AC20" s="350">
        <f t="shared" si="13"/>
        <v>100</v>
      </c>
      <c r="AD20" s="350">
        <f t="shared" si="14"/>
        <v>0</v>
      </c>
      <c r="AE20" s="357">
        <f t="shared" si="15"/>
        <v>0</v>
      </c>
    </row>
    <row r="21" spans="1:31" x14ac:dyDescent="0.25">
      <c r="A21" s="270">
        <v>25</v>
      </c>
      <c r="B21" s="48">
        <f t="array" ref="B21">IF(SUM('Entrada Prod (semanal)'!C$3:C$108)&gt;0,$Q$7-SUM('Entrada Prod (semanal)'!C$3:C13),IF(SUM('Entrada Prod (semanal)'!$D$3:D118)&gt;0,$Q$7-SUM('Entrada Prod (semanal)'!$D$3:D13)/100*$Q$7,$Q$7))</f>
        <v>0</v>
      </c>
      <c r="C21" s="36">
        <f>IF((Info!$J$5&gt;0),B21/$Q$7*100, )</f>
        <v>0</v>
      </c>
      <c r="D21" s="53">
        <v>99.4</v>
      </c>
      <c r="E21" s="85">
        <f t="array" ref="E21">IF(SUM('Entrada Prod (semanal)'!E$3:E$108)&gt;0,('Entrada Prod (semanal)'!E13)/7/B21*100,IF(SUM('Entrada Prod (semanal)'!$G$3:$G$108)&gt;0,('Entrada Prod (semanal)'!G13), ))</f>
        <v>0</v>
      </c>
      <c r="F21" s="186">
        <v>93.058350100603619</v>
      </c>
      <c r="G21" s="181">
        <f t="array" ref="G21">IF(SUM('Entrada Prod (semanal)'!F$3:F$108)&gt;0,('Entrada Prod (semanal)'!F13)/7/B21*100,IF(SUM('Entrada Prod (semanal)'!$H$3:$H$108)&gt;0,('Entrada Prod (semanal)'!H13), ))</f>
        <v>0</v>
      </c>
      <c r="H21" s="61">
        <f t="shared" si="8"/>
        <v>0</v>
      </c>
      <c r="I21" s="145">
        <f t="shared" si="0"/>
        <v>33.04</v>
      </c>
      <c r="J21" s="169">
        <f t="shared" si="0"/>
        <v>0</v>
      </c>
      <c r="K21" s="61">
        <f>IF(ISNUMBER('Entrada Prod (semanal)'!I13),'Entrada Prod (semanal)'!I13,K20)</f>
        <v>0</v>
      </c>
      <c r="L21" s="42">
        <v>57.9</v>
      </c>
      <c r="M21" s="36">
        <f>IF(H21&lt;&gt;0,SUMPRODUCT(($K$11:K21)*($X$11:X21)/H21),0)</f>
        <v>0</v>
      </c>
      <c r="N21" s="60">
        <f>IF(I21&lt;&gt;0,SUMPRODUCT(($L$11:L21)*($Y$11:Y21)/I21),0)</f>
        <v>53.763983050847457</v>
      </c>
      <c r="O21" s="61">
        <f t="shared" si="1"/>
        <v>0</v>
      </c>
      <c r="P21" s="110">
        <f t="shared" si="2"/>
        <v>53.880784708249493</v>
      </c>
      <c r="Q21" s="102">
        <f t="shared" si="9"/>
        <v>0</v>
      </c>
      <c r="R21" s="103">
        <f t="shared" si="10"/>
        <v>1.7763620000000002</v>
      </c>
      <c r="S21" s="85">
        <f t="shared" si="3"/>
        <v>0</v>
      </c>
      <c r="T21" s="137">
        <f t="shared" si="4"/>
        <v>92.5</v>
      </c>
      <c r="U21" s="169">
        <f t="shared" si="5"/>
        <v>0</v>
      </c>
      <c r="V21" s="352">
        <f t="shared" si="17"/>
        <v>86.544265593561363</v>
      </c>
      <c r="W21" s="352">
        <f t="shared" si="18"/>
        <v>9.3058350100603633</v>
      </c>
      <c r="X21" s="357">
        <f t="shared" si="11"/>
        <v>0</v>
      </c>
      <c r="Y21" s="357">
        <f t="shared" si="12"/>
        <v>6.4750000000000014</v>
      </c>
      <c r="Z21" s="357" t="str">
        <f t="shared" si="6"/>
        <v/>
      </c>
      <c r="AA21" s="357" t="str">
        <f t="shared" si="7"/>
        <v/>
      </c>
      <c r="AB21" s="350">
        <f t="shared" si="16"/>
        <v>0</v>
      </c>
      <c r="AC21" s="350">
        <f t="shared" si="13"/>
        <v>100</v>
      </c>
      <c r="AD21" s="350">
        <f t="shared" si="14"/>
        <v>0</v>
      </c>
      <c r="AE21" s="357">
        <f t="shared" si="15"/>
        <v>0</v>
      </c>
    </row>
    <row r="22" spans="1:31" x14ac:dyDescent="0.25">
      <c r="A22" s="270">
        <v>26</v>
      </c>
      <c r="B22" s="48">
        <f t="array" ref="B22">IF(SUM('Entrada Prod (semanal)'!C$3:C$108)&gt;0,$Q$7-SUM('Entrada Prod (semanal)'!C$3:C14),IF(SUM('Entrada Prod (semanal)'!$D$3:D119)&gt;0,$Q$7-SUM('Entrada Prod (semanal)'!$D$3:D14)/100*$Q$7,$Q$7))</f>
        <v>0</v>
      </c>
      <c r="C22" s="36">
        <f>IF((Info!$J$5&gt;0),B22/$Q$7*100, )</f>
        <v>0</v>
      </c>
      <c r="D22" s="53">
        <v>99.3</v>
      </c>
      <c r="E22" s="85">
        <f t="array" ref="E22">IF(SUM('Entrada Prod (semanal)'!E$3:E$108)&gt;0,('Entrada Prod (semanal)'!E14)/7/B22*100,IF(SUM('Entrada Prod (semanal)'!$G$3:$G$108)&gt;0,('Entrada Prod (semanal)'!G14), ))</f>
        <v>0</v>
      </c>
      <c r="F22" s="186">
        <v>93.756294058408855</v>
      </c>
      <c r="G22" s="181">
        <f t="array" ref="G22">IF(SUM('Entrada Prod (semanal)'!F$3:F$108)&gt;0,('Entrada Prod (semanal)'!F14)/7/B22*100,IF(SUM('Entrada Prod (semanal)'!$H$3:$H$108)&gt;0,('Entrada Prod (semanal)'!H14), ))</f>
        <v>0</v>
      </c>
      <c r="H22" s="61">
        <f t="shared" si="8"/>
        <v>0</v>
      </c>
      <c r="I22" s="145">
        <f t="shared" si="0"/>
        <v>39.556999999999995</v>
      </c>
      <c r="J22" s="169">
        <f t="shared" si="0"/>
        <v>0</v>
      </c>
      <c r="K22" s="61">
        <f>IF(ISNUMBER('Entrada Prod (semanal)'!I14),'Entrada Prod (semanal)'!I14,K21)</f>
        <v>0</v>
      </c>
      <c r="L22" s="42">
        <v>58.9</v>
      </c>
      <c r="M22" s="36">
        <f>IF(H22&lt;&gt;0,SUMPRODUCT(($K$11:K22)*($X$11:X22)/H22),0)</f>
        <v>0</v>
      </c>
      <c r="N22" s="60">
        <f>IF(I22&lt;&gt;0,SUMPRODUCT(($L$11:L22)*($Y$11:Y22)/I22),0)</f>
        <v>54.610139798265791</v>
      </c>
      <c r="O22" s="61">
        <f t="shared" si="1"/>
        <v>0</v>
      </c>
      <c r="P22" s="110">
        <f t="shared" si="2"/>
        <v>55.222457200402815</v>
      </c>
      <c r="Q22" s="102">
        <f t="shared" si="9"/>
        <v>0</v>
      </c>
      <c r="R22" s="103">
        <f t="shared" si="10"/>
        <v>2.1602133000000001</v>
      </c>
      <c r="S22" s="85">
        <f t="shared" si="3"/>
        <v>0</v>
      </c>
      <c r="T22" s="138">
        <f t="shared" si="4"/>
        <v>93.09999999999998</v>
      </c>
      <c r="U22" s="169">
        <f t="shared" si="5"/>
        <v>0</v>
      </c>
      <c r="V22" s="352">
        <f t="shared" si="17"/>
        <v>87.193353474320233</v>
      </c>
      <c r="W22" s="352">
        <f t="shared" si="18"/>
        <v>9.3756294058408827</v>
      </c>
      <c r="X22" s="357">
        <f t="shared" si="11"/>
        <v>0</v>
      </c>
      <c r="Y22" s="357">
        <f t="shared" si="12"/>
        <v>6.5169999999999959</v>
      </c>
      <c r="Z22" s="357" t="str">
        <f t="shared" si="6"/>
        <v/>
      </c>
      <c r="AA22" s="357" t="str">
        <f t="shared" si="7"/>
        <v/>
      </c>
      <c r="AB22" s="350">
        <f t="shared" si="16"/>
        <v>0</v>
      </c>
      <c r="AC22" s="350">
        <f t="shared" si="13"/>
        <v>100</v>
      </c>
      <c r="AD22" s="350">
        <f t="shared" si="14"/>
        <v>0</v>
      </c>
      <c r="AE22" s="357">
        <f t="shared" si="15"/>
        <v>0</v>
      </c>
    </row>
    <row r="23" spans="1:31" x14ac:dyDescent="0.25">
      <c r="A23" s="270">
        <v>27</v>
      </c>
      <c r="B23" s="48">
        <f t="array" ref="B23">IF(SUM('Entrada Prod (semanal)'!C$3:C$108)&gt;0,$Q$7-SUM('Entrada Prod (semanal)'!C$3:C15),IF(SUM('Entrada Prod (semanal)'!$D$3:D120)&gt;0,$Q$7-SUM('Entrada Prod (semanal)'!$D$3:D15)/100*$Q$7,$Q$7))</f>
        <v>0</v>
      </c>
      <c r="C23" s="36">
        <f>IF((Info!$J$5&gt;0),B23/$Q$7*100, )</f>
        <v>0</v>
      </c>
      <c r="D23" s="53">
        <v>99.2</v>
      </c>
      <c r="E23" s="85">
        <f t="array" ref="E23">IF(SUM('Entrada Prod (semanal)'!E$3:E$108)&gt;0,('Entrada Prod (semanal)'!E15)/7/B23*100,IF(SUM('Entrada Prod (semanal)'!$G$3:$G$108)&gt;0,('Entrada Prod (semanal)'!G15), ))</f>
        <v>0</v>
      </c>
      <c r="F23" s="186">
        <v>94.254032258064512</v>
      </c>
      <c r="G23" s="181">
        <f t="array" ref="G23">IF(SUM('Entrada Prod (semanal)'!F$3:F$108)&gt;0,('Entrada Prod (semanal)'!F15)/7/B23*100,IF(SUM('Entrada Prod (semanal)'!$H$3:$H$108)&gt;0,('Entrada Prod (semanal)'!H15), ))</f>
        <v>0</v>
      </c>
      <c r="H23" s="61">
        <f t="shared" si="8"/>
        <v>0</v>
      </c>
      <c r="I23" s="145">
        <f t="shared" si="0"/>
        <v>46.101999999999997</v>
      </c>
      <c r="J23" s="169">
        <f t="shared" si="0"/>
        <v>0</v>
      </c>
      <c r="K23" s="61">
        <f>IF(ISNUMBER('Entrada Prod (semanal)'!I15),'Entrada Prod (semanal)'!I15,K22)</f>
        <v>0</v>
      </c>
      <c r="L23" s="42">
        <v>59.7</v>
      </c>
      <c r="M23" s="36">
        <f>IF(H23&lt;&gt;0,SUMPRODUCT(($K$11:K23)*($X$11:X23)/H23),0)</f>
        <v>0</v>
      </c>
      <c r="N23" s="60">
        <f>IF(I23&lt;&gt;0,SUMPRODUCT(($L$11:L23)*($Y$11:Y23)/I23),0)</f>
        <v>55.332736106893407</v>
      </c>
      <c r="O23" s="61">
        <f t="shared" si="1"/>
        <v>0</v>
      </c>
      <c r="P23" s="110">
        <f t="shared" si="2"/>
        <v>56.26965725806452</v>
      </c>
      <c r="Q23" s="102">
        <f t="shared" si="9"/>
        <v>0</v>
      </c>
      <c r="R23" s="103">
        <f t="shared" si="10"/>
        <v>2.5509498000000002</v>
      </c>
      <c r="S23" s="85">
        <f t="shared" si="3"/>
        <v>0</v>
      </c>
      <c r="T23" s="138">
        <f t="shared" si="4"/>
        <v>93.5</v>
      </c>
      <c r="U23" s="169">
        <f t="shared" si="5"/>
        <v>0</v>
      </c>
      <c r="V23" s="352">
        <f t="shared" si="17"/>
        <v>87.65625</v>
      </c>
      <c r="W23" s="352">
        <f t="shared" si="18"/>
        <v>9.4254032258064484</v>
      </c>
      <c r="X23" s="357">
        <f t="shared" si="11"/>
        <v>0</v>
      </c>
      <c r="Y23" s="357">
        <f t="shared" si="12"/>
        <v>6.5450000000000017</v>
      </c>
      <c r="Z23" s="357" t="str">
        <f t="shared" si="6"/>
        <v/>
      </c>
      <c r="AA23" s="357" t="str">
        <f t="shared" si="7"/>
        <v/>
      </c>
      <c r="AB23" s="350">
        <f t="shared" si="16"/>
        <v>0</v>
      </c>
      <c r="AC23" s="350">
        <f t="shared" si="13"/>
        <v>100</v>
      </c>
      <c r="AD23" s="350">
        <f t="shared" si="14"/>
        <v>0</v>
      </c>
      <c r="AE23" s="357">
        <f t="shared" si="15"/>
        <v>0</v>
      </c>
    </row>
    <row r="24" spans="1:31" x14ac:dyDescent="0.25">
      <c r="A24" s="271">
        <v>28</v>
      </c>
      <c r="B24" s="49">
        <f t="array" ref="B24">IF(SUM('Entrada Prod (semanal)'!C$3:C$108)&gt;0,$Q$7-SUM('Entrada Prod (semanal)'!C$3:C16),IF(SUM('Entrada Prod (semanal)'!$D$3:D121)&gt;0,$Q$7-SUM('Entrada Prod (semanal)'!$D$3:D16)/100*$Q$7,$Q$7))</f>
        <v>0</v>
      </c>
      <c r="C24" s="37">
        <f>IF((Info!$J$5&gt;0),B24/$Q$7*100, )</f>
        <v>0</v>
      </c>
      <c r="D24" s="52">
        <v>99.099999999999952</v>
      </c>
      <c r="E24" s="86">
        <f t="array" ref="E24">IF(SUM('Entrada Prod (semanal)'!E$3:E$108)&gt;0,('Entrada Prod (semanal)'!E16)/7/B24*100,IF(SUM('Entrada Prod (semanal)'!$G$3:$G$108)&gt;0,('Entrada Prod (semanal)'!G16), ))</f>
        <v>0</v>
      </c>
      <c r="F24" s="185">
        <v>94.651866801210943</v>
      </c>
      <c r="G24" s="182">
        <f t="array" ref="G24">IF(SUM('Entrada Prod (semanal)'!F$3:F$108)&gt;0,('Entrada Prod (semanal)'!F16)/7/B24*100,IF(SUM('Entrada Prod (semanal)'!$H$3:$H$108)&gt;0,('Entrada Prod (semanal)'!H16), ))</f>
        <v>0</v>
      </c>
      <c r="H24" s="62">
        <f t="shared" si="8"/>
        <v>0</v>
      </c>
      <c r="I24" s="146">
        <f t="shared" si="0"/>
        <v>52.667999999999999</v>
      </c>
      <c r="J24" s="170">
        <f t="shared" si="0"/>
        <v>0</v>
      </c>
      <c r="K24" s="62">
        <f>IF(ISNUMBER('Entrada Prod (semanal)'!I16),'Entrada Prod (semanal)'!I16,K23)</f>
        <v>0</v>
      </c>
      <c r="L24" s="45">
        <v>60.4</v>
      </c>
      <c r="M24" s="37">
        <f>IF(H24&lt;&gt;0,SUMPRODUCT(($K$11:K24)*($X$11:X24)/H24),0)</f>
        <v>0</v>
      </c>
      <c r="N24" s="63">
        <f>IF(I24&lt;&gt;0,SUMPRODUCT(($L$11:L24)*($Y$11:Y24)/I24),0)</f>
        <v>55.964460393407762</v>
      </c>
      <c r="O24" s="62">
        <f t="shared" si="1"/>
        <v>0</v>
      </c>
      <c r="P24" s="82">
        <f t="shared" si="2"/>
        <v>57.169727547931409</v>
      </c>
      <c r="Q24" s="104">
        <f t="shared" si="9"/>
        <v>0</v>
      </c>
      <c r="R24" s="105">
        <f t="shared" si="10"/>
        <v>2.9475362000000001</v>
      </c>
      <c r="S24" s="86">
        <f t="shared" si="3"/>
        <v>0</v>
      </c>
      <c r="T24" s="139">
        <f t="shared" si="4"/>
        <v>93.8</v>
      </c>
      <c r="U24" s="170">
        <f t="shared" si="5"/>
        <v>0</v>
      </c>
      <c r="V24" s="352">
        <f t="shared" si="17"/>
        <v>88.026236125126175</v>
      </c>
      <c r="W24" s="352">
        <f t="shared" si="18"/>
        <v>9.4651866801210929</v>
      </c>
      <c r="X24" s="357">
        <f t="shared" si="11"/>
        <v>0</v>
      </c>
      <c r="Y24" s="357">
        <f t="shared" si="12"/>
        <v>6.5660000000000025</v>
      </c>
      <c r="Z24" s="357" t="str">
        <f t="shared" si="6"/>
        <v/>
      </c>
      <c r="AA24" s="357" t="str">
        <f t="shared" si="7"/>
        <v/>
      </c>
      <c r="AB24" s="350">
        <f t="shared" si="16"/>
        <v>0</v>
      </c>
      <c r="AC24" s="350">
        <f t="shared" si="13"/>
        <v>100</v>
      </c>
      <c r="AD24" s="350">
        <f t="shared" si="14"/>
        <v>0</v>
      </c>
      <c r="AE24" s="357">
        <f t="shared" si="15"/>
        <v>0</v>
      </c>
    </row>
    <row r="25" spans="1:31" x14ac:dyDescent="0.25">
      <c r="A25" s="270">
        <v>29</v>
      </c>
      <c r="B25" s="48">
        <f t="array" ref="B25">IF(SUM('Entrada Prod (semanal)'!C$3:C$108)&gt;0,$Q$7-SUM('Entrada Prod (semanal)'!C$3:C17),IF(SUM('Entrada Prod (semanal)'!$D$3:D122)&gt;0,$Q$7-SUM('Entrada Prod (semanal)'!$D$3:D17)/100*$Q$7,$Q$7))</f>
        <v>0</v>
      </c>
      <c r="C25" s="36">
        <f>IF((Info!$J$5&gt;0),B25/$Q$7*100, )</f>
        <v>0</v>
      </c>
      <c r="D25" s="53">
        <v>98.999999999999957</v>
      </c>
      <c r="E25" s="85">
        <f t="array" ref="E25">IF(SUM('Entrada Prod (semanal)'!E$3:E$108)&gt;0,('Entrada Prod (semanal)'!E17)/7/B25*100,IF(SUM('Entrada Prod (semanal)'!$G$3:$G$108)&gt;0,('Entrada Prod (semanal)'!G17), ))</f>
        <v>0</v>
      </c>
      <c r="F25" s="186">
        <v>94.969696969697011</v>
      </c>
      <c r="G25" s="181">
        <f t="array" ref="G25">IF(SUM('Entrada Prod (semanal)'!F$3:F$108)&gt;0,('Entrada Prod (semanal)'!F17)/7/B25*100,IF(SUM('Entrada Prod (semanal)'!$H$3:$H$108)&gt;0,('Entrada Prod (semanal)'!H17), ))</f>
        <v>0</v>
      </c>
      <c r="H25" s="61">
        <f t="shared" si="8"/>
        <v>0</v>
      </c>
      <c r="I25" s="145">
        <f t="shared" si="0"/>
        <v>59.249400000000001</v>
      </c>
      <c r="J25" s="169">
        <f t="shared" si="0"/>
        <v>0</v>
      </c>
      <c r="K25" s="61">
        <f>IF(ISNUMBER('Entrada Prod (semanal)'!I17),'Entrada Prod (semanal)'!I17,K24)</f>
        <v>0</v>
      </c>
      <c r="L25" s="42">
        <v>61</v>
      </c>
      <c r="M25" s="36">
        <f>IF(H25&lt;&gt;0,SUMPRODUCT(($K$11:K25)*($X$11:X25)/H25),0)</f>
        <v>0</v>
      </c>
      <c r="N25" s="60">
        <f>IF(I25&lt;&gt;0,SUMPRODUCT(($L$11:L25)*($Y$11:Y25)/I25),0)</f>
        <v>56.523806148247914</v>
      </c>
      <c r="O25" s="61">
        <f t="shared" si="1"/>
        <v>0</v>
      </c>
      <c r="P25" s="110">
        <f t="shared" si="2"/>
        <v>57.931515151515178</v>
      </c>
      <c r="Q25" s="102">
        <f t="shared" si="9"/>
        <v>0</v>
      </c>
      <c r="R25" s="103">
        <f t="shared" si="10"/>
        <v>3.3490016000000002</v>
      </c>
      <c r="S25" s="85">
        <f t="shared" si="3"/>
        <v>0</v>
      </c>
      <c r="T25" s="138">
        <f t="shared" si="4"/>
        <v>94.02</v>
      </c>
      <c r="U25" s="169">
        <f t="shared" si="5"/>
        <v>0</v>
      </c>
      <c r="V25" s="352">
        <f t="shared" si="17"/>
        <v>88.321818181818216</v>
      </c>
      <c r="W25" s="352">
        <f t="shared" si="18"/>
        <v>9.4969696969696997</v>
      </c>
      <c r="X25" s="357">
        <f t="shared" si="11"/>
        <v>0</v>
      </c>
      <c r="Y25" s="357">
        <f t="shared" si="12"/>
        <v>6.5814000000000021</v>
      </c>
      <c r="Z25" s="357" t="str">
        <f t="shared" si="6"/>
        <v/>
      </c>
      <c r="AA25" s="357" t="str">
        <f t="shared" si="7"/>
        <v/>
      </c>
      <c r="AB25" s="350">
        <f t="shared" si="16"/>
        <v>0</v>
      </c>
      <c r="AC25" s="350">
        <f t="shared" si="13"/>
        <v>100</v>
      </c>
      <c r="AD25" s="350">
        <f t="shared" si="14"/>
        <v>0</v>
      </c>
      <c r="AE25" s="357">
        <f t="shared" si="15"/>
        <v>0</v>
      </c>
    </row>
    <row r="26" spans="1:31" x14ac:dyDescent="0.25">
      <c r="A26" s="270">
        <v>30</v>
      </c>
      <c r="B26" s="48">
        <f t="array" ref="B26">IF(SUM('Entrada Prod (semanal)'!C$3:C$108)&gt;0,$Q$7-SUM('Entrada Prod (semanal)'!C$3:C18),IF(SUM('Entrada Prod (semanal)'!$D$3:D123)&gt;0,$Q$7-SUM('Entrada Prod (semanal)'!$D$3:D18)/100*$Q$7,$Q$7))</f>
        <v>0</v>
      </c>
      <c r="C26" s="36">
        <f>IF((Info!$J$5&gt;0),B26/$Q$7*100, )</f>
        <v>0</v>
      </c>
      <c r="D26" s="53">
        <v>98.899999999999949</v>
      </c>
      <c r="E26" s="85">
        <f t="array" ref="E26">IF(SUM('Entrada Prod (semanal)'!E$3:E$108)&gt;0,('Entrada Prod (semanal)'!E18)/7/B26*100,IF(SUM('Entrada Prod (semanal)'!$G$3:$G$108)&gt;0,('Entrada Prod (semanal)'!G18), ))</f>
        <v>0</v>
      </c>
      <c r="F26" s="186">
        <v>95.166835187057686</v>
      </c>
      <c r="G26" s="181">
        <f t="array" ref="G26">IF(SUM('Entrada Prod (semanal)'!F$3:F$108)&gt;0,('Entrada Prod (semanal)'!F18)/7/B26*100,IF(SUM('Entrada Prod (semanal)'!$H$3:$H$108)&gt;0,('Entrada Prod (semanal)'!H18), ))</f>
        <v>0</v>
      </c>
      <c r="H26" s="61">
        <f t="shared" si="8"/>
        <v>0</v>
      </c>
      <c r="I26" s="145">
        <f t="shared" si="0"/>
        <v>65.837800000000001</v>
      </c>
      <c r="J26" s="169">
        <f t="shared" si="0"/>
        <v>0</v>
      </c>
      <c r="K26" s="61">
        <f>IF(ISNUMBER('Entrada Prod (semanal)'!I18),'Entrada Prod (semanal)'!I18,K25)</f>
        <v>0</v>
      </c>
      <c r="L26" s="42">
        <v>61.4</v>
      </c>
      <c r="M26" s="36">
        <f>IF(H26&lt;&gt;0,SUMPRODUCT(($K$11:K26)*($X$11:X26)/H26),0)</f>
        <v>0</v>
      </c>
      <c r="N26" s="60">
        <f>IF(I26&lt;&gt;0,SUMPRODUCT(($L$11:L26)*($Y$11:Y26)/I26),0)</f>
        <v>57.011767707912476</v>
      </c>
      <c r="O26" s="61">
        <f t="shared" si="1"/>
        <v>0</v>
      </c>
      <c r="P26" s="110">
        <f t="shared" si="2"/>
        <v>58.432436804853417</v>
      </c>
      <c r="Q26" s="102">
        <f t="shared" si="9"/>
        <v>0</v>
      </c>
      <c r="R26" s="103">
        <f t="shared" si="10"/>
        <v>3.7535293600000004</v>
      </c>
      <c r="S26" s="85">
        <f t="shared" si="3"/>
        <v>0</v>
      </c>
      <c r="T26" s="138">
        <f t="shared" si="4"/>
        <v>94.12</v>
      </c>
      <c r="U26" s="169">
        <f t="shared" si="5"/>
        <v>0</v>
      </c>
      <c r="V26" s="352">
        <f t="shared" si="17"/>
        <v>88.505156723963651</v>
      </c>
      <c r="W26" s="352">
        <f t="shared" si="18"/>
        <v>9.5166835187057615</v>
      </c>
      <c r="X26" s="357">
        <f t="shared" si="11"/>
        <v>0</v>
      </c>
      <c r="Y26" s="357">
        <f t="shared" si="12"/>
        <v>6.5884</v>
      </c>
      <c r="Z26" s="357" t="str">
        <f t="shared" si="6"/>
        <v/>
      </c>
      <c r="AA26" s="357" t="str">
        <f t="shared" si="7"/>
        <v/>
      </c>
      <c r="AB26" s="350">
        <f t="shared" si="16"/>
        <v>0</v>
      </c>
      <c r="AC26" s="350">
        <f t="shared" si="13"/>
        <v>100</v>
      </c>
      <c r="AD26" s="350">
        <f t="shared" si="14"/>
        <v>0</v>
      </c>
      <c r="AE26" s="357">
        <f t="shared" si="15"/>
        <v>0</v>
      </c>
    </row>
    <row r="27" spans="1:31" x14ac:dyDescent="0.25">
      <c r="A27" s="270">
        <v>31</v>
      </c>
      <c r="B27" s="48">
        <f t="array" ref="B27">IF(SUM('Entrada Prod (semanal)'!C$3:C$108)&gt;0,$Q$7-SUM('Entrada Prod (semanal)'!C$3:C19),IF(SUM('Entrada Prod (semanal)'!$D$3:D124)&gt;0,$Q$7-SUM('Entrada Prod (semanal)'!$D$3:D19)/100*$Q$7,$Q$7))</f>
        <v>0</v>
      </c>
      <c r="C27" s="36">
        <f>IF((Info!$J$5&gt;0),B27/$Q$7*100, )</f>
        <v>0</v>
      </c>
      <c r="D27" s="53">
        <v>98.79999999999994</v>
      </c>
      <c r="E27" s="85">
        <f t="array" ref="E27">IF(SUM('Entrada Prod (semanal)'!E$3:E$108)&gt;0,('Entrada Prod (semanal)'!E19)/7/B27*100,IF(SUM('Entrada Prod (semanal)'!$G$3:$G$108)&gt;0,('Entrada Prod (semanal)'!G19), ))</f>
        <v>0</v>
      </c>
      <c r="F27" s="186">
        <v>95.263157894736906</v>
      </c>
      <c r="G27" s="181">
        <f t="array" ref="G27">IF(SUM('Entrada Prod (semanal)'!F$3:F$108)&gt;0,('Entrada Prod (semanal)'!F19)/7/B27*100,IF(SUM('Entrada Prod (semanal)'!$H$3:$H$108)&gt;0,('Entrada Prod (semanal)'!H19), ))</f>
        <v>0</v>
      </c>
      <c r="H27" s="61">
        <f t="shared" si="8"/>
        <v>0</v>
      </c>
      <c r="I27" s="145">
        <f t="shared" si="0"/>
        <v>72.426199999999994</v>
      </c>
      <c r="J27" s="169">
        <f t="shared" si="0"/>
        <v>0</v>
      </c>
      <c r="K27" s="61">
        <f>IF(ISNUMBER('Entrada Prod (semanal)'!I19),'Entrada Prod (semanal)'!I19,K26)</f>
        <v>0</v>
      </c>
      <c r="L27" s="42">
        <v>61.7</v>
      </c>
      <c r="M27" s="36">
        <f>IF(H27&lt;&gt;0,SUMPRODUCT(($K$11:K27)*($X$11:X27)/H27),0)</f>
        <v>0</v>
      </c>
      <c r="N27" s="60">
        <f>IF(I27&lt;&gt;0,SUMPRODUCT(($L$11:L27)*($Y$11:Y27)/I27),0)</f>
        <v>57.438242514449186</v>
      </c>
      <c r="O27" s="61">
        <f t="shared" si="1"/>
        <v>0</v>
      </c>
      <c r="P27" s="110">
        <f t="shared" si="2"/>
        <v>58.777368421052671</v>
      </c>
      <c r="Q27" s="102">
        <f t="shared" si="9"/>
        <v>0</v>
      </c>
      <c r="R27" s="103">
        <f t="shared" si="10"/>
        <v>4.16003364</v>
      </c>
      <c r="S27" s="85">
        <f t="shared" si="3"/>
        <v>0</v>
      </c>
      <c r="T27" s="138">
        <f t="shared" si="4"/>
        <v>94.12</v>
      </c>
      <c r="U27" s="169">
        <f t="shared" si="5"/>
        <v>0</v>
      </c>
      <c r="V27" s="352">
        <f t="shared" si="17"/>
        <v>88.59473684210532</v>
      </c>
      <c r="W27" s="352">
        <f t="shared" si="18"/>
        <v>9.5263157894736992</v>
      </c>
      <c r="X27" s="357">
        <f t="shared" si="11"/>
        <v>0</v>
      </c>
      <c r="Y27" s="357">
        <f t="shared" si="12"/>
        <v>6.5883999999999929</v>
      </c>
      <c r="Z27" s="357" t="str">
        <f t="shared" si="6"/>
        <v/>
      </c>
      <c r="AA27" s="357" t="str">
        <f t="shared" si="7"/>
        <v/>
      </c>
      <c r="AB27" s="350">
        <f t="shared" si="16"/>
        <v>0</v>
      </c>
      <c r="AC27" s="350">
        <f t="shared" si="13"/>
        <v>100</v>
      </c>
      <c r="AD27" s="350">
        <f t="shared" si="14"/>
        <v>0</v>
      </c>
      <c r="AE27" s="357">
        <f t="shared" si="15"/>
        <v>0</v>
      </c>
    </row>
    <row r="28" spans="1:31" x14ac:dyDescent="0.25">
      <c r="A28" s="271">
        <v>32</v>
      </c>
      <c r="B28" s="49">
        <f t="array" ref="B28">IF(SUM('Entrada Prod (semanal)'!C$3:C$108)&gt;0,$Q$7-SUM('Entrada Prod (semanal)'!C$3:C20),IF(SUM('Entrada Prod (semanal)'!$D$3:D125)&gt;0,$Q$7-SUM('Entrada Prod (semanal)'!$D$3:D20)/100*$Q$7,$Q$7))</f>
        <v>0</v>
      </c>
      <c r="C28" s="37">
        <f>IF((Info!$J$5&gt;0),B28/$Q$7*100, )</f>
        <v>0</v>
      </c>
      <c r="D28" s="52">
        <v>98.699999999999918</v>
      </c>
      <c r="E28" s="86">
        <f t="array" ref="E28">IF(SUM('Entrada Prod (semanal)'!E$3:E$108)&gt;0,('Entrada Prod (semanal)'!E20)/7/B28*100,IF(SUM('Entrada Prod (semanal)'!$G$3:$G$108)&gt;0,('Entrada Prod (semanal)'!G20), ))</f>
        <v>0</v>
      </c>
      <c r="F28" s="185">
        <v>95.309017223910914</v>
      </c>
      <c r="G28" s="182">
        <f t="array" ref="G28">IF(SUM('Entrada Prod (semanal)'!F$3:F$108)&gt;0,('Entrada Prod (semanal)'!F20)/7/B28*100,IF(SUM('Entrada Prod (semanal)'!$H$3:$H$108)&gt;0,('Entrada Prod (semanal)'!H20), ))</f>
        <v>0</v>
      </c>
      <c r="H28" s="62">
        <f t="shared" si="8"/>
        <v>0</v>
      </c>
      <c r="I28" s="146">
        <f t="shared" si="0"/>
        <v>79.011099999999999</v>
      </c>
      <c r="J28" s="170">
        <f t="shared" si="0"/>
        <v>0</v>
      </c>
      <c r="K28" s="62">
        <f>IF(ISNUMBER('Entrada Prod (semanal)'!I20),'Entrada Prod (semanal)'!I20,K27)</f>
        <v>0</v>
      </c>
      <c r="L28" s="45">
        <v>62</v>
      </c>
      <c r="M28" s="37">
        <f>IF(H28&lt;&gt;0,SUMPRODUCT(($K$11:K28)*($X$11:X28)/H28),0)</f>
        <v>0</v>
      </c>
      <c r="N28" s="63">
        <f>IF(I28&lt;&gt;0,SUMPRODUCT(($L$11:L28)*($Y$11:Y28)/I28),0)</f>
        <v>57.818426018622702</v>
      </c>
      <c r="O28" s="62">
        <f t="shared" si="1"/>
        <v>0</v>
      </c>
      <c r="P28" s="82">
        <f t="shared" si="2"/>
        <v>59.091590678824765</v>
      </c>
      <c r="Q28" s="104">
        <f t="shared" si="9"/>
        <v>0</v>
      </c>
      <c r="R28" s="105">
        <f t="shared" si="10"/>
        <v>4.5682974400000003</v>
      </c>
      <c r="S28" s="86">
        <f t="shared" si="3"/>
        <v>0</v>
      </c>
      <c r="T28" s="139">
        <f t="shared" si="4"/>
        <v>94.07</v>
      </c>
      <c r="U28" s="170">
        <f t="shared" si="5"/>
        <v>0</v>
      </c>
      <c r="V28" s="352">
        <f t="shared" si="17"/>
        <v>88.637386018237152</v>
      </c>
      <c r="W28" s="352">
        <f t="shared" si="18"/>
        <v>9.5309017223910928</v>
      </c>
      <c r="X28" s="357">
        <f t="shared" si="11"/>
        <v>0</v>
      </c>
      <c r="Y28" s="357">
        <f t="shared" si="12"/>
        <v>6.5849000000000046</v>
      </c>
      <c r="Z28" s="357" t="str">
        <f t="shared" si="6"/>
        <v/>
      </c>
      <c r="AA28" s="357" t="str">
        <f t="shared" si="7"/>
        <v/>
      </c>
      <c r="AB28" s="350">
        <f t="shared" si="16"/>
        <v>0</v>
      </c>
      <c r="AC28" s="350">
        <f t="shared" si="13"/>
        <v>100</v>
      </c>
      <c r="AD28" s="350">
        <f t="shared" si="14"/>
        <v>0</v>
      </c>
      <c r="AE28" s="357">
        <f t="shared" si="15"/>
        <v>0</v>
      </c>
    </row>
    <row r="29" spans="1:31" x14ac:dyDescent="0.25">
      <c r="A29" s="270">
        <v>33</v>
      </c>
      <c r="B29" s="48">
        <f t="array" ref="B29">IF(SUM('Entrada Prod (semanal)'!C$3:C$108)&gt;0,$Q$7-SUM('Entrada Prod (semanal)'!C$3:C21),IF(SUM('Entrada Prod (semanal)'!$D$3:D126)&gt;0,$Q$7-SUM('Entrada Prod (semanal)'!$D$3:D21)/100*$Q$7,$Q$7))</f>
        <v>0</v>
      </c>
      <c r="C29" s="36">
        <f>IF((Info!$J$5&gt;0),B29/$Q$7*100, )</f>
        <v>0</v>
      </c>
      <c r="D29" s="53">
        <v>98.599999999999909</v>
      </c>
      <c r="E29" s="85">
        <f t="array" ref="E29">IF(SUM('Entrada Prod (semanal)'!E$3:E$108)&gt;0,('Entrada Prod (semanal)'!E21)/7/B29*100,IF(SUM('Entrada Prod (semanal)'!$G$3:$G$108)&gt;0,('Entrada Prod (semanal)'!G21), ))</f>
        <v>0</v>
      </c>
      <c r="F29" s="186">
        <v>95.304259634888524</v>
      </c>
      <c r="G29" s="181">
        <f t="array" ref="G29">IF(SUM('Entrada Prod (semanal)'!F$3:F$108)&gt;0,('Entrada Prod (semanal)'!F21)/7/B29*100,IF(SUM('Entrada Prod (semanal)'!$H$3:$H$108)&gt;0,('Entrada Prod (semanal)'!H21), ))</f>
        <v>0</v>
      </c>
      <c r="H29" s="61">
        <f t="shared" ref="H29:H44" si="19">7*S29/100+H28</f>
        <v>0</v>
      </c>
      <c r="I29" s="145">
        <f t="shared" si="0"/>
        <v>85.588999999999999</v>
      </c>
      <c r="J29" s="169">
        <f t="shared" si="0"/>
        <v>0</v>
      </c>
      <c r="K29" s="61">
        <f>IF(ISNUMBER('Entrada Prod (semanal)'!I21),'Entrada Prod (semanal)'!I21,K28)</f>
        <v>0</v>
      </c>
      <c r="L29" s="42">
        <v>62.3</v>
      </c>
      <c r="M29" s="36">
        <f>IF(H29&lt;&gt;0,SUMPRODUCT(($K$11:K29)*($X$11:X29)/H29),0)</f>
        <v>0</v>
      </c>
      <c r="N29" s="60">
        <f>IF(I29&lt;&gt;0,SUMPRODUCT(($L$11:L29)*($Y$11:Y29)/I29),0)</f>
        <v>58.162855156620594</v>
      </c>
      <c r="O29" s="61">
        <f t="shared" si="1"/>
        <v>0</v>
      </c>
      <c r="P29" s="110">
        <f t="shared" si="2"/>
        <v>59.374553752535547</v>
      </c>
      <c r="Q29" s="102">
        <f t="shared" si="9"/>
        <v>0</v>
      </c>
      <c r="R29" s="103">
        <f t="shared" si="10"/>
        <v>4.9781006100000003</v>
      </c>
      <c r="S29" s="85">
        <f t="shared" si="3"/>
        <v>0</v>
      </c>
      <c r="T29" s="138">
        <f t="shared" si="4"/>
        <v>93.97</v>
      </c>
      <c r="U29" s="169">
        <f t="shared" si="5"/>
        <v>0</v>
      </c>
      <c r="V29" s="352">
        <f t="shared" si="17"/>
        <v>88.632961460446325</v>
      </c>
      <c r="W29" s="352">
        <f t="shared" si="18"/>
        <v>9.5304259634888524</v>
      </c>
      <c r="X29" s="357">
        <f t="shared" si="11"/>
        <v>0</v>
      </c>
      <c r="Y29" s="357">
        <f t="shared" si="12"/>
        <v>6.5778999999999996</v>
      </c>
      <c r="Z29" s="357" t="str">
        <f t="shared" si="6"/>
        <v/>
      </c>
      <c r="AA29" s="357" t="str">
        <f t="shared" si="7"/>
        <v/>
      </c>
      <c r="AB29" s="350">
        <f t="shared" si="16"/>
        <v>0</v>
      </c>
      <c r="AC29" s="350">
        <f t="shared" si="13"/>
        <v>100</v>
      </c>
      <c r="AD29" s="350">
        <f t="shared" si="14"/>
        <v>0</v>
      </c>
      <c r="AE29" s="357">
        <f t="shared" si="15"/>
        <v>0</v>
      </c>
    </row>
    <row r="30" spans="1:31" x14ac:dyDescent="0.25">
      <c r="A30" s="270">
        <v>34</v>
      </c>
      <c r="B30" s="48">
        <f t="array" ref="B30">IF(SUM('Entrada Prod (semanal)'!C$3:C$108)&gt;0,$Q$7-SUM('Entrada Prod (semanal)'!C$3:C22),IF(SUM('Entrada Prod (semanal)'!$D$3:D127)&gt;0,$Q$7-SUM('Entrada Prod (semanal)'!$D$3:D22)/100*$Q$7,$Q$7))</f>
        <v>0</v>
      </c>
      <c r="C30" s="36">
        <f>IF((Info!$J$5&gt;0),B30/$Q$7*100, )</f>
        <v>0</v>
      </c>
      <c r="D30" s="53">
        <v>98.499999999999901</v>
      </c>
      <c r="E30" s="85">
        <f t="array" ref="E30">IF(SUM('Entrada Prod (semanal)'!E$3:E$108)&gt;0,('Entrada Prod (semanal)'!E22)/7/B30*100,IF(SUM('Entrada Prod (semanal)'!$G$3:$G$108)&gt;0,('Entrada Prod (semanal)'!G22), ))</f>
        <v>0</v>
      </c>
      <c r="F30" s="186">
        <v>95.2487309644671</v>
      </c>
      <c r="G30" s="181">
        <f t="array" ref="G30">IF(SUM('Entrada Prod (semanal)'!F$3:F$108)&gt;0,('Entrada Prod (semanal)'!F22)/7/B30*100,IF(SUM('Entrada Prod (semanal)'!$H$3:$H$108)&gt;0,('Entrada Prod (semanal)'!H22), ))</f>
        <v>0</v>
      </c>
      <c r="H30" s="61">
        <f t="shared" si="19"/>
        <v>0</v>
      </c>
      <c r="I30" s="145">
        <f t="shared" si="0"/>
        <v>92.156400000000005</v>
      </c>
      <c r="J30" s="169">
        <f t="shared" si="0"/>
        <v>0</v>
      </c>
      <c r="K30" s="61">
        <f>IF(ISNUMBER('Entrada Prod (semanal)'!I22),'Entrada Prod (semanal)'!I22,K29)</f>
        <v>0</v>
      </c>
      <c r="L30" s="42">
        <v>62.6</v>
      </c>
      <c r="M30" s="36">
        <f>IF(H30&lt;&gt;0,SUMPRODUCT(($K$11:K30)*($X$11:X30)/H30),0)</f>
        <v>0</v>
      </c>
      <c r="N30" s="60">
        <f>IF(I30&lt;&gt;0,SUMPRODUCT(($L$11:L30)*($Y$11:Y30)/I30),0)</f>
        <v>58.479062224652878</v>
      </c>
      <c r="O30" s="61">
        <f t="shared" si="1"/>
        <v>0</v>
      </c>
      <c r="P30" s="110">
        <f t="shared" si="2"/>
        <v>59.625705583756407</v>
      </c>
      <c r="Q30" s="102">
        <f t="shared" si="9"/>
        <v>0</v>
      </c>
      <c r="R30" s="103">
        <f t="shared" si="10"/>
        <v>5.3892198499999999</v>
      </c>
      <c r="S30" s="85">
        <f t="shared" si="3"/>
        <v>0</v>
      </c>
      <c r="T30" s="138">
        <f t="shared" si="4"/>
        <v>93.82</v>
      </c>
      <c r="U30" s="169">
        <f t="shared" si="5"/>
        <v>0</v>
      </c>
      <c r="V30" s="352">
        <f t="shared" si="17"/>
        <v>88.581319796954404</v>
      </c>
      <c r="W30" s="352">
        <f t="shared" si="18"/>
        <v>9.5248730964467114</v>
      </c>
      <c r="X30" s="357">
        <f t="shared" si="11"/>
        <v>0</v>
      </c>
      <c r="Y30" s="357">
        <f t="shared" si="12"/>
        <v>6.5674000000000063</v>
      </c>
      <c r="Z30" s="357" t="str">
        <f t="shared" si="6"/>
        <v/>
      </c>
      <c r="AA30" s="357" t="str">
        <f t="shared" si="7"/>
        <v/>
      </c>
      <c r="AB30" s="350">
        <f t="shared" si="16"/>
        <v>0</v>
      </c>
      <c r="AC30" s="350">
        <f t="shared" si="13"/>
        <v>100</v>
      </c>
      <c r="AD30" s="350">
        <f t="shared" si="14"/>
        <v>0</v>
      </c>
      <c r="AE30" s="357">
        <f t="shared" si="15"/>
        <v>0</v>
      </c>
    </row>
    <row r="31" spans="1:31" x14ac:dyDescent="0.25">
      <c r="A31" s="270">
        <v>35</v>
      </c>
      <c r="B31" s="48">
        <f t="array" ref="B31">IF(SUM('Entrada Prod (semanal)'!C$3:C$108)&gt;0,$Q$7-SUM('Entrada Prod (semanal)'!C$3:C23),IF(SUM('Entrada Prod (semanal)'!$D$3:D128)&gt;0,$Q$7-SUM('Entrada Prod (semanal)'!$D$3:D23)/100*$Q$7,$Q$7))</f>
        <v>0</v>
      </c>
      <c r="C31" s="36">
        <f>IF((Info!$J$5&gt;0),B31/$Q$7*100, )</f>
        <v>0</v>
      </c>
      <c r="D31" s="53">
        <v>98.399999999999892</v>
      </c>
      <c r="E31" s="85">
        <f t="array" ref="E31">IF(SUM('Entrada Prod (semanal)'!E$3:E$108)&gt;0,('Entrada Prod (semanal)'!E23)/7/B31*100,IF(SUM('Entrada Prod (semanal)'!$G$3:$G$108)&gt;0,('Entrada Prod (semanal)'!G23), ))</f>
        <v>0</v>
      </c>
      <c r="F31" s="186">
        <v>95.142276422764326</v>
      </c>
      <c r="G31" s="181">
        <f t="array" ref="G31">IF(SUM('Entrada Prod (semanal)'!F$3:F$108)&gt;0,('Entrada Prod (semanal)'!F23)/7/B31*100,IF(SUM('Entrada Prod (semanal)'!$H$3:$H$108)&gt;0,('Entrada Prod (semanal)'!H23), ))</f>
        <v>0</v>
      </c>
      <c r="H31" s="61">
        <f t="shared" si="19"/>
        <v>0</v>
      </c>
      <c r="I31" s="145">
        <f t="shared" si="0"/>
        <v>98.709800000000001</v>
      </c>
      <c r="J31" s="169">
        <f t="shared" si="0"/>
        <v>0</v>
      </c>
      <c r="K31" s="61">
        <f>IF(ISNUMBER('Entrada Prod (semanal)'!I23),'Entrada Prod (semanal)'!I23,K30)</f>
        <v>0</v>
      </c>
      <c r="L31" s="42">
        <v>62.9</v>
      </c>
      <c r="M31" s="36">
        <f>IF(H31&lt;&gt;0,SUMPRODUCT(($K$11:K31)*($X$11:X31)/H31),0)</f>
        <v>0</v>
      </c>
      <c r="N31" s="60">
        <f>IF(I31&lt;&gt;0,SUMPRODUCT(($L$11:L31)*($Y$11:Y31)/I31),0)</f>
        <v>58.772570808572198</v>
      </c>
      <c r="O31" s="61">
        <f t="shared" si="1"/>
        <v>0</v>
      </c>
      <c r="P31" s="110">
        <f t="shared" si="2"/>
        <v>59.844491869918755</v>
      </c>
      <c r="Q31" s="102">
        <f t="shared" si="9"/>
        <v>0</v>
      </c>
      <c r="R31" s="103">
        <f t="shared" si="10"/>
        <v>5.8014287099999997</v>
      </c>
      <c r="S31" s="85">
        <f t="shared" si="3"/>
        <v>0</v>
      </c>
      <c r="T31" s="138">
        <f t="shared" si="4"/>
        <v>93.62</v>
      </c>
      <c r="U31" s="169">
        <f t="shared" si="5"/>
        <v>0</v>
      </c>
      <c r="V31" s="352">
        <f t="shared" si="17"/>
        <v>88.482317073170819</v>
      </c>
      <c r="W31" s="352">
        <f t="shared" si="18"/>
        <v>9.5142276422764382</v>
      </c>
      <c r="X31" s="357">
        <f t="shared" si="11"/>
        <v>0</v>
      </c>
      <c r="Y31" s="357">
        <f t="shared" si="12"/>
        <v>6.5533999999999963</v>
      </c>
      <c r="Z31" s="357" t="str">
        <f t="shared" si="6"/>
        <v/>
      </c>
      <c r="AA31" s="357" t="str">
        <f t="shared" si="7"/>
        <v/>
      </c>
      <c r="AB31" s="350">
        <f t="shared" si="16"/>
        <v>0</v>
      </c>
      <c r="AC31" s="350">
        <f t="shared" si="13"/>
        <v>100</v>
      </c>
      <c r="AD31" s="350">
        <f t="shared" si="14"/>
        <v>0</v>
      </c>
      <c r="AE31" s="357">
        <f t="shared" si="15"/>
        <v>0</v>
      </c>
    </row>
    <row r="32" spans="1:31" x14ac:dyDescent="0.25">
      <c r="A32" s="271">
        <v>36</v>
      </c>
      <c r="B32" s="49">
        <f t="array" ref="B32">IF(SUM('Entrada Prod (semanal)'!C$3:C$108)&gt;0,$Q$7-SUM('Entrada Prod (semanal)'!C$3:C24),IF(SUM('Entrada Prod (semanal)'!$D$3:D129)&gt;0,$Q$7-SUM('Entrada Prod (semanal)'!$D$3:D24)/100*$Q$7,$Q$7))</f>
        <v>0</v>
      </c>
      <c r="C32" s="37">
        <f>IF((Info!$J$5&gt;0),B32/$Q$7*100, )</f>
        <v>0</v>
      </c>
      <c r="D32" s="52">
        <v>98.299999999999898</v>
      </c>
      <c r="E32" s="86">
        <f t="array" ref="E32">IF(SUM('Entrada Prod (semanal)'!E$3:E$108)&gt;0,('Entrada Prod (semanal)'!E24)/7/B32*100,IF(SUM('Entrada Prod (semanal)'!$G$3:$G$108)&gt;0,('Entrada Prod (semanal)'!G24), ))</f>
        <v>0</v>
      </c>
      <c r="F32" s="185">
        <v>94.984740590030626</v>
      </c>
      <c r="G32" s="182">
        <f t="array" ref="G32">IF(SUM('Entrada Prod (semanal)'!F$3:F$108)&gt;0,('Entrada Prod (semanal)'!F24)/7/B32*100,IF(SUM('Entrada Prod (semanal)'!$H$3:$H$108)&gt;0,('Entrada Prod (semanal)'!H24), ))</f>
        <v>0</v>
      </c>
      <c r="H32" s="62">
        <f t="shared" si="19"/>
        <v>0</v>
      </c>
      <c r="I32" s="146">
        <f t="shared" si="0"/>
        <v>105.2457</v>
      </c>
      <c r="J32" s="170">
        <f t="shared" si="0"/>
        <v>0</v>
      </c>
      <c r="K32" s="62">
        <f>IF(ISNUMBER('Entrada Prod (semanal)'!I24),'Entrada Prod (semanal)'!I24,K31)</f>
        <v>0</v>
      </c>
      <c r="L32" s="45">
        <v>63.15</v>
      </c>
      <c r="M32" s="37">
        <f>IF(H32&lt;&gt;0,SUMPRODUCT(($K$11:K32)*($X$11:X32)/H32),0)</f>
        <v>0</v>
      </c>
      <c r="N32" s="63">
        <f>IF(I32&lt;&gt;0,SUMPRODUCT(($L$11:L32)*($Y$11:Y32)/I32),0)</f>
        <v>59.044415068739148</v>
      </c>
      <c r="O32" s="62">
        <f t="shared" si="1"/>
        <v>0</v>
      </c>
      <c r="P32" s="82">
        <f t="shared" si="2"/>
        <v>59.982863682604339</v>
      </c>
      <c r="Q32" s="104">
        <f t="shared" si="9"/>
        <v>0</v>
      </c>
      <c r="R32" s="105">
        <f t="shared" si="10"/>
        <v>6.2141707949999994</v>
      </c>
      <c r="S32" s="86">
        <f t="shared" si="3"/>
        <v>0</v>
      </c>
      <c r="T32" s="139">
        <f t="shared" si="4"/>
        <v>93.37</v>
      </c>
      <c r="U32" s="170">
        <f t="shared" si="5"/>
        <v>0</v>
      </c>
      <c r="V32" s="352">
        <f t="shared" si="17"/>
        <v>88.335808748728482</v>
      </c>
      <c r="W32" s="352">
        <f t="shared" si="18"/>
        <v>9.4984740590030583</v>
      </c>
      <c r="X32" s="357">
        <f t="shared" si="11"/>
        <v>0</v>
      </c>
      <c r="Y32" s="357">
        <f t="shared" si="12"/>
        <v>6.535899999999998</v>
      </c>
      <c r="Z32" s="357" t="str">
        <f t="shared" si="6"/>
        <v/>
      </c>
      <c r="AA32" s="357" t="str">
        <f t="shared" si="7"/>
        <v/>
      </c>
      <c r="AB32" s="350">
        <f t="shared" si="16"/>
        <v>0</v>
      </c>
      <c r="AC32" s="350">
        <f t="shared" si="13"/>
        <v>100</v>
      </c>
      <c r="AD32" s="350">
        <f t="shared" si="14"/>
        <v>0</v>
      </c>
      <c r="AE32" s="357">
        <f t="shared" si="15"/>
        <v>0</v>
      </c>
    </row>
    <row r="33" spans="1:31" x14ac:dyDescent="0.25">
      <c r="A33" s="270">
        <v>37</v>
      </c>
      <c r="B33" s="48">
        <f t="array" ref="B33">IF(SUM('Entrada Prod (semanal)'!C$3:C$108)&gt;0,$Q$7-SUM('Entrada Prod (semanal)'!C$3:C25),IF(SUM('Entrada Prod (semanal)'!$D$3:D130)&gt;0,$Q$7-SUM('Entrada Prod (semanal)'!$D$3:D25)/100*$Q$7,$Q$7))</f>
        <v>0</v>
      </c>
      <c r="C33" s="36">
        <f>IF((Info!$J$5&gt;0),B33/$Q$7*100, )</f>
        <v>0</v>
      </c>
      <c r="D33" s="53">
        <v>98.199999999999889</v>
      </c>
      <c r="E33" s="85">
        <f t="array" ref="E33">IF(SUM('Entrada Prod (semanal)'!E$3:E$108)&gt;0,('Entrada Prod (semanal)'!E25)/7/B33*100,IF(SUM('Entrada Prod (semanal)'!$G$3:$G$108)&gt;0,('Entrada Prod (semanal)'!G25), ))</f>
        <v>0</v>
      </c>
      <c r="F33" s="186">
        <v>94.775967413442061</v>
      </c>
      <c r="G33" s="181">
        <f t="array" ref="G33">IF(SUM('Entrada Prod (semanal)'!F$3:F$108)&gt;0,('Entrada Prod (semanal)'!F25)/7/B33*100,IF(SUM('Entrada Prod (semanal)'!$H$3:$H$108)&gt;0,('Entrada Prod (semanal)'!H25), ))</f>
        <v>0</v>
      </c>
      <c r="H33" s="61">
        <f t="shared" si="19"/>
        <v>0</v>
      </c>
      <c r="I33" s="145">
        <f t="shared" si="0"/>
        <v>111.7606</v>
      </c>
      <c r="J33" s="169">
        <f t="shared" si="0"/>
        <v>0</v>
      </c>
      <c r="K33" s="61">
        <f>IF(ISNUMBER('Entrada Prod (semanal)'!I25),'Entrada Prod (semanal)'!I25,K32)</f>
        <v>0</v>
      </c>
      <c r="L33" s="42">
        <v>63.4</v>
      </c>
      <c r="M33" s="36">
        <f>IF(H33&lt;&gt;0,SUMPRODUCT(($K$11:K33)*($X$11:X33)/H33),0)</f>
        <v>0</v>
      </c>
      <c r="N33" s="60">
        <f>IF(I33&lt;&gt;0,SUMPRODUCT(($L$11:L33)*($Y$11:Y33)/I33),0)</f>
        <v>59.298316714477203</v>
      </c>
      <c r="O33" s="61">
        <f t="shared" si="1"/>
        <v>0</v>
      </c>
      <c r="P33" s="110">
        <f t="shared" si="2"/>
        <v>60.087963340122272</v>
      </c>
      <c r="Q33" s="102">
        <f t="shared" si="9"/>
        <v>0</v>
      </c>
      <c r="R33" s="103">
        <f t="shared" si="10"/>
        <v>6.6272154549999991</v>
      </c>
      <c r="S33" s="85">
        <f t="shared" si="3"/>
        <v>0</v>
      </c>
      <c r="T33" s="138">
        <f t="shared" si="4"/>
        <v>93.07</v>
      </c>
      <c r="U33" s="169">
        <f t="shared" si="5"/>
        <v>0</v>
      </c>
      <c r="V33" s="352">
        <f t="shared" si="17"/>
        <v>88.141649694501112</v>
      </c>
      <c r="W33" s="352">
        <f t="shared" si="18"/>
        <v>9.4775967413442146</v>
      </c>
      <c r="X33" s="357">
        <f t="shared" si="11"/>
        <v>0</v>
      </c>
      <c r="Y33" s="357">
        <f t="shared" si="12"/>
        <v>6.5148999999999972</v>
      </c>
      <c r="Z33" s="357" t="str">
        <f t="shared" si="6"/>
        <v/>
      </c>
      <c r="AA33" s="357" t="str">
        <f t="shared" si="7"/>
        <v/>
      </c>
      <c r="AB33" s="350">
        <f t="shared" si="16"/>
        <v>0</v>
      </c>
      <c r="AC33" s="350">
        <f t="shared" si="13"/>
        <v>100</v>
      </c>
      <c r="AD33" s="350">
        <f t="shared" si="14"/>
        <v>0</v>
      </c>
      <c r="AE33" s="357">
        <f t="shared" si="15"/>
        <v>0</v>
      </c>
    </row>
    <row r="34" spans="1:31" x14ac:dyDescent="0.25">
      <c r="A34" s="270">
        <v>38</v>
      </c>
      <c r="B34" s="48">
        <f t="array" ref="B34">IF(SUM('Entrada Prod (semanal)'!C$3:C$108)&gt;0,$Q$7-SUM('Entrada Prod (semanal)'!C$3:C26),IF(SUM('Entrada Prod (semanal)'!$D$3:D131)&gt;0,$Q$7-SUM('Entrada Prod (semanal)'!$D$3:D26)/100*$Q$7,$Q$7))</f>
        <v>0</v>
      </c>
      <c r="C34" s="36">
        <f>IF((Info!$J$5&gt;0),B34/$Q$7*100, )</f>
        <v>0</v>
      </c>
      <c r="D34" s="53">
        <v>98.099999999999866</v>
      </c>
      <c r="E34" s="85">
        <f t="array" ref="E34">IF(SUM('Entrada Prod (semanal)'!E$3:E$108)&gt;0,('Entrada Prod (semanal)'!E26)/7/B34*100,IF(SUM('Entrada Prod (semanal)'!$G$3:$G$108)&gt;0,('Entrada Prod (semanal)'!G26), ))</f>
        <v>0</v>
      </c>
      <c r="F34" s="186">
        <v>94.515800203873724</v>
      </c>
      <c r="G34" s="181">
        <f t="array" ref="G34">IF(SUM('Entrada Prod (semanal)'!F$3:F$108)&gt;0,('Entrada Prod (semanal)'!F26)/7/B34*100,IF(SUM('Entrada Prod (semanal)'!$H$3:$H$108)&gt;0,('Entrada Prod (semanal)'!H26), ))</f>
        <v>0</v>
      </c>
      <c r="H34" s="61">
        <f t="shared" si="19"/>
        <v>0</v>
      </c>
      <c r="I34" s="145">
        <f t="shared" si="0"/>
        <v>118.25099999999999</v>
      </c>
      <c r="J34" s="169">
        <f t="shared" si="0"/>
        <v>0</v>
      </c>
      <c r="K34" s="61">
        <f>IF(ISNUMBER('Entrada Prod (semanal)'!I26),'Entrada Prod (semanal)'!I26,K33)</f>
        <v>0</v>
      </c>
      <c r="L34" s="42">
        <v>63.65</v>
      </c>
      <c r="M34" s="36">
        <f>IF(H34&lt;&gt;0,SUMPRODUCT(($K$11:K34)*($X$11:X34)/H34),0)</f>
        <v>0</v>
      </c>
      <c r="N34" s="60">
        <f>IF(I34&lt;&gt;0,SUMPRODUCT(($L$11:L34)*($Y$11:Y34)/I34),0)</f>
        <v>59.537165985911329</v>
      </c>
      <c r="O34" s="61">
        <f t="shared" si="1"/>
        <v>0</v>
      </c>
      <c r="P34" s="110">
        <f t="shared" si="2"/>
        <v>60.159306829765626</v>
      </c>
      <c r="Q34" s="102">
        <f t="shared" si="9"/>
        <v>0</v>
      </c>
      <c r="R34" s="103">
        <f t="shared" si="10"/>
        <v>7.0403294149999986</v>
      </c>
      <c r="S34" s="85">
        <f t="shared" si="3"/>
        <v>0</v>
      </c>
      <c r="T34" s="138">
        <f t="shared" si="4"/>
        <v>92.72</v>
      </c>
      <c r="U34" s="169">
        <f t="shared" si="5"/>
        <v>0</v>
      </c>
      <c r="V34" s="352">
        <f t="shared" si="17"/>
        <v>87.899694189602556</v>
      </c>
      <c r="W34" s="352">
        <f t="shared" si="18"/>
        <v>9.4515800203873823</v>
      </c>
      <c r="X34" s="357">
        <f t="shared" si="11"/>
        <v>0</v>
      </c>
      <c r="Y34" s="357">
        <f t="shared" si="12"/>
        <v>6.490399999999994</v>
      </c>
      <c r="Z34" s="357" t="str">
        <f t="shared" si="6"/>
        <v/>
      </c>
      <c r="AA34" s="357" t="str">
        <f t="shared" si="7"/>
        <v/>
      </c>
      <c r="AB34" s="350">
        <f t="shared" si="16"/>
        <v>0</v>
      </c>
      <c r="AC34" s="350">
        <f t="shared" si="13"/>
        <v>100</v>
      </c>
      <c r="AD34" s="350">
        <f t="shared" si="14"/>
        <v>0</v>
      </c>
      <c r="AE34" s="357">
        <f t="shared" si="15"/>
        <v>0</v>
      </c>
    </row>
    <row r="35" spans="1:31" x14ac:dyDescent="0.25">
      <c r="A35" s="270">
        <v>39</v>
      </c>
      <c r="B35" s="48">
        <f t="array" ref="B35">IF(SUM('Entrada Prod (semanal)'!C$3:C$108)&gt;0,$Q$7-SUM('Entrada Prod (semanal)'!C$3:C27),IF(SUM('Entrada Prod (semanal)'!$D$3:D132)&gt;0,$Q$7-SUM('Entrada Prod (semanal)'!$D$3:D27)/100*$Q$7,$Q$7))</f>
        <v>0</v>
      </c>
      <c r="C35" s="36">
        <f>IF((Info!$J$5&gt;0),B35/$Q$7*100, )</f>
        <v>0</v>
      </c>
      <c r="D35" s="53">
        <v>97.999999999999858</v>
      </c>
      <c r="E35" s="85">
        <f t="array" ref="E35">IF(SUM('Entrada Prod (semanal)'!E$3:E$108)&gt;0,('Entrada Prod (semanal)'!E27)/7/B35*100,IF(SUM('Entrada Prod (semanal)'!$G$3:$G$108)&gt;0,('Entrada Prod (semanal)'!G27), ))</f>
        <v>0</v>
      </c>
      <c r="F35" s="186">
        <v>94.255102040816467</v>
      </c>
      <c r="G35" s="181">
        <f t="array" ref="G35">IF(SUM('Entrada Prod (semanal)'!F$3:F$108)&gt;0,('Entrada Prod (semanal)'!F27)/7/B35*100,IF(SUM('Entrada Prod (semanal)'!$H$3:$H$108)&gt;0,('Entrada Prod (semanal)'!H27), ))</f>
        <v>0</v>
      </c>
      <c r="H35" s="61">
        <f t="shared" si="19"/>
        <v>0</v>
      </c>
      <c r="I35" s="145">
        <f t="shared" si="0"/>
        <v>124.7169</v>
      </c>
      <c r="J35" s="169">
        <f t="shared" si="0"/>
        <v>0</v>
      </c>
      <c r="K35" s="61">
        <f>IF(ISNUMBER('Entrada Prod (semanal)'!I27),'Entrada Prod (semanal)'!I27,K34)</f>
        <v>0</v>
      </c>
      <c r="L35" s="42">
        <v>63.9</v>
      </c>
      <c r="M35" s="36">
        <f>IF(H35&lt;&gt;0,SUMPRODUCT(($K$11:K35)*($X$11:X35)/H35),0)</f>
        <v>0</v>
      </c>
      <c r="N35" s="60">
        <f>IF(I35&lt;&gt;0,SUMPRODUCT(($L$11:L35)*($Y$11:Y35)/I35),0)</f>
        <v>59.763355447417311</v>
      </c>
      <c r="O35" s="61">
        <f t="shared" si="1"/>
        <v>0</v>
      </c>
      <c r="P35" s="110">
        <f t="shared" si="2"/>
        <v>60.229010204081725</v>
      </c>
      <c r="Q35" s="102">
        <f t="shared" si="9"/>
        <v>0</v>
      </c>
      <c r="R35" s="103">
        <f t="shared" si="10"/>
        <v>7.4535004249999988</v>
      </c>
      <c r="S35" s="85">
        <f t="shared" si="3"/>
        <v>0</v>
      </c>
      <c r="T35" s="138">
        <f t="shared" si="4"/>
        <v>92.37</v>
      </c>
      <c r="U35" s="169">
        <f t="shared" si="5"/>
        <v>0</v>
      </c>
      <c r="V35" s="352">
        <f t="shared" si="17"/>
        <v>87.657244897959316</v>
      </c>
      <c r="W35" s="352">
        <f t="shared" si="18"/>
        <v>9.4255102040816467</v>
      </c>
      <c r="X35" s="357">
        <f t="shared" si="11"/>
        <v>0</v>
      </c>
      <c r="Y35" s="357">
        <f t="shared" si="12"/>
        <v>6.4659000000000049</v>
      </c>
      <c r="Z35" s="357" t="str">
        <f t="shared" si="6"/>
        <v/>
      </c>
      <c r="AA35" s="357" t="str">
        <f t="shared" si="7"/>
        <v/>
      </c>
      <c r="AB35" s="350">
        <f t="shared" si="16"/>
        <v>0</v>
      </c>
      <c r="AC35" s="350">
        <f t="shared" si="13"/>
        <v>100</v>
      </c>
      <c r="AD35" s="350">
        <f t="shared" si="14"/>
        <v>0</v>
      </c>
      <c r="AE35" s="357">
        <f t="shared" si="15"/>
        <v>0</v>
      </c>
    </row>
    <row r="36" spans="1:31" x14ac:dyDescent="0.25">
      <c r="A36" s="271">
        <v>40</v>
      </c>
      <c r="B36" s="49">
        <f t="array" ref="B36">IF(SUM('Entrada Prod (semanal)'!C$3:C$108)&gt;0,$Q$7-SUM('Entrada Prod (semanal)'!C$3:C28),IF(SUM('Entrada Prod (semanal)'!$D$3:D133)&gt;0,$Q$7-SUM('Entrada Prod (semanal)'!$D$3:D28)/100*$Q$7,$Q$7))</f>
        <v>0</v>
      </c>
      <c r="C36" s="37">
        <f>IF((Info!$J$5&gt;0),B36/$Q$7*100, )</f>
        <v>0</v>
      </c>
      <c r="D36" s="52">
        <v>97.899999999999835</v>
      </c>
      <c r="E36" s="86">
        <f t="array" ref="E36">IF(SUM('Entrada Prod (semanal)'!E$3:E$108)&gt;0,('Entrada Prod (semanal)'!E28)/7/B36*100,IF(SUM('Entrada Prod (semanal)'!$G$3:$G$108)&gt;0,('Entrada Prod (semanal)'!G28), ))</f>
        <v>0</v>
      </c>
      <c r="F36" s="185">
        <v>93.993871297242237</v>
      </c>
      <c r="G36" s="182">
        <f t="array" ref="G36">IF(SUM('Entrada Prod (semanal)'!F$3:F$108)&gt;0,('Entrada Prod (semanal)'!F28)/7/B36*100,IF(SUM('Entrada Prod (semanal)'!$H$3:$H$108)&gt;0,('Entrada Prod (semanal)'!H28), ))</f>
        <v>0</v>
      </c>
      <c r="H36" s="62">
        <f t="shared" si="19"/>
        <v>0</v>
      </c>
      <c r="I36" s="146">
        <f t="shared" si="0"/>
        <v>131.1583</v>
      </c>
      <c r="J36" s="170">
        <f t="shared" si="0"/>
        <v>0</v>
      </c>
      <c r="K36" s="62">
        <f>IF(ISNUMBER('Entrada Prod (semanal)'!I28),'Entrada Prod (semanal)'!I28,K35)</f>
        <v>0</v>
      </c>
      <c r="L36" s="45">
        <v>64.150000000000006</v>
      </c>
      <c r="M36" s="37">
        <f>IF(H36&lt;&gt;0,SUMPRODUCT(($K$11:K36)*($X$11:X36)/H36),0)</f>
        <v>0</v>
      </c>
      <c r="N36" s="63">
        <f>IF(I36&lt;&gt;0,SUMPRODUCT(($L$11:L36)*($Y$11:Y36)/I36),0)</f>
        <v>59.978790781826241</v>
      </c>
      <c r="O36" s="62">
        <f t="shared" si="1"/>
        <v>0</v>
      </c>
      <c r="P36" s="82">
        <f t="shared" si="2"/>
        <v>60.297068437180897</v>
      </c>
      <c r="Q36" s="104">
        <f t="shared" si="9"/>
        <v>0</v>
      </c>
      <c r="R36" s="105">
        <f t="shared" si="10"/>
        <v>7.8667162349999984</v>
      </c>
      <c r="S36" s="86">
        <f t="shared" si="3"/>
        <v>0</v>
      </c>
      <c r="T36" s="139">
        <f t="shared" si="4"/>
        <v>92.02</v>
      </c>
      <c r="U36" s="170">
        <f t="shared" si="5"/>
        <v>0</v>
      </c>
      <c r="V36" s="352">
        <f t="shared" si="17"/>
        <v>87.41430030643528</v>
      </c>
      <c r="W36" s="352">
        <f t="shared" si="18"/>
        <v>9.399387129724218</v>
      </c>
      <c r="X36" s="357">
        <f t="shared" si="11"/>
        <v>0</v>
      </c>
      <c r="Y36" s="357">
        <f t="shared" si="12"/>
        <v>6.4414000000000016</v>
      </c>
      <c r="Z36" s="357" t="str">
        <f t="shared" si="6"/>
        <v/>
      </c>
      <c r="AA36" s="357" t="str">
        <f t="shared" si="7"/>
        <v/>
      </c>
      <c r="AB36" s="350">
        <f t="shared" si="16"/>
        <v>0</v>
      </c>
      <c r="AC36" s="350">
        <f t="shared" si="13"/>
        <v>100</v>
      </c>
      <c r="AD36" s="350">
        <f t="shared" si="14"/>
        <v>0</v>
      </c>
      <c r="AE36" s="357">
        <f t="shared" si="15"/>
        <v>0</v>
      </c>
    </row>
    <row r="37" spans="1:31" x14ac:dyDescent="0.25">
      <c r="A37" s="270">
        <v>41</v>
      </c>
      <c r="B37" s="48">
        <f t="array" ref="B37">IF(SUM('Entrada Prod (semanal)'!C$3:C$108)&gt;0,$Q$7-SUM('Entrada Prod (semanal)'!C$3:C29),IF(SUM('Entrada Prod (semanal)'!$D$3:D134)&gt;0,$Q$7-SUM('Entrada Prod (semanal)'!$D$3:D29)/100*$Q$7,$Q$7))</f>
        <v>0</v>
      </c>
      <c r="C37" s="36">
        <f>IF((Info!$J$5&gt;0),B37/$Q$7*100, )</f>
        <v>0</v>
      </c>
      <c r="D37" s="53">
        <v>97.799999999999827</v>
      </c>
      <c r="E37" s="85">
        <f t="array" ref="E37">IF(SUM('Entrada Prod (semanal)'!E$3:E$108)&gt;0,('Entrada Prod (semanal)'!E29)/7/B37*100,IF(SUM('Entrada Prod (semanal)'!$G$3:$G$108)&gt;0,('Entrada Prod (semanal)'!G29), ))</f>
        <v>0</v>
      </c>
      <c r="F37" s="186">
        <v>93.732106339468473</v>
      </c>
      <c r="G37" s="181">
        <f t="array" ref="G37">IF(SUM('Entrada Prod (semanal)'!F$3:F$108)&gt;0,('Entrada Prod (semanal)'!F29)/7/B37*100,IF(SUM('Entrada Prod (semanal)'!$H$3:$H$108)&gt;0,('Entrada Prod (semanal)'!H29), ))</f>
        <v>0</v>
      </c>
      <c r="H37" s="61">
        <f t="shared" si="19"/>
        <v>0</v>
      </c>
      <c r="I37" s="145">
        <f t="shared" si="0"/>
        <v>137.5752</v>
      </c>
      <c r="J37" s="169">
        <f t="shared" si="0"/>
        <v>0</v>
      </c>
      <c r="K37" s="61">
        <f>IF(ISNUMBER('Entrada Prod (semanal)'!I29),'Entrada Prod (semanal)'!I29,K36)</f>
        <v>0</v>
      </c>
      <c r="L37" s="42">
        <v>64.349999999999994</v>
      </c>
      <c r="M37" s="36">
        <f>IF(H37&lt;&gt;0,SUMPRODUCT(($K$11:K37)*($X$11:X37)/H37),0)</f>
        <v>0</v>
      </c>
      <c r="N37" s="60">
        <f>IF(I37&lt;&gt;0,SUMPRODUCT(($L$11:L37)*($Y$11:Y37)/I37),0)</f>
        <v>60.182676456221763</v>
      </c>
      <c r="O37" s="61">
        <f t="shared" si="1"/>
        <v>0</v>
      </c>
      <c r="P37" s="110">
        <f t="shared" si="2"/>
        <v>60.316610429447955</v>
      </c>
      <c r="Q37" s="102">
        <f t="shared" si="9"/>
        <v>0</v>
      </c>
      <c r="R37" s="103">
        <f t="shared" si="10"/>
        <v>8.2796437499999982</v>
      </c>
      <c r="S37" s="85">
        <f t="shared" si="3"/>
        <v>0</v>
      </c>
      <c r="T37" s="138">
        <f t="shared" si="4"/>
        <v>91.67</v>
      </c>
      <c r="U37" s="169">
        <f t="shared" si="5"/>
        <v>0</v>
      </c>
      <c r="V37" s="352">
        <f t="shared" si="17"/>
        <v>87.170858895705678</v>
      </c>
      <c r="W37" s="352">
        <f t="shared" si="18"/>
        <v>9.3732106339468544</v>
      </c>
      <c r="X37" s="357">
        <f t="shared" si="11"/>
        <v>0</v>
      </c>
      <c r="Y37" s="357">
        <f t="shared" si="12"/>
        <v>6.4168999999999983</v>
      </c>
      <c r="Z37" s="357" t="str">
        <f t="shared" si="6"/>
        <v/>
      </c>
      <c r="AA37" s="357" t="str">
        <f t="shared" si="7"/>
        <v/>
      </c>
      <c r="AB37" s="350">
        <f t="shared" si="16"/>
        <v>0</v>
      </c>
      <c r="AC37" s="350">
        <f t="shared" si="13"/>
        <v>100</v>
      </c>
      <c r="AD37" s="350">
        <f t="shared" si="14"/>
        <v>0</v>
      </c>
      <c r="AE37" s="357">
        <f t="shared" si="15"/>
        <v>0</v>
      </c>
    </row>
    <row r="38" spans="1:31" x14ac:dyDescent="0.25">
      <c r="A38" s="270">
        <v>42</v>
      </c>
      <c r="B38" s="48">
        <f t="array" ref="B38">IF(SUM('Entrada Prod (semanal)'!C$3:C$108)&gt;0,$Q$7-SUM('Entrada Prod (semanal)'!C$3:C30),IF(SUM('Entrada Prod (semanal)'!$D$3:D135)&gt;0,$Q$7-SUM('Entrada Prod (semanal)'!$D$3:D30)/100*$Q$7,$Q$7))</f>
        <v>0</v>
      </c>
      <c r="C38" s="36">
        <f>IF((Info!$J$5&gt;0),B38/$Q$7*100, )</f>
        <v>0</v>
      </c>
      <c r="D38" s="53">
        <v>97.699999999999804</v>
      </c>
      <c r="E38" s="85">
        <f t="array" ref="E38">IF(SUM('Entrada Prod (semanal)'!E$3:E$108)&gt;0,('Entrada Prod (semanal)'!E30)/7/B38*100,IF(SUM('Entrada Prod (semanal)'!$G$3:$G$108)&gt;0,('Entrada Prod (semanal)'!G30), ))</f>
        <v>0</v>
      </c>
      <c r="F38" s="186">
        <v>93.469805527124024</v>
      </c>
      <c r="G38" s="181">
        <f t="array" ref="G38">IF(SUM('Entrada Prod (semanal)'!F$3:F$108)&gt;0,('Entrada Prod (semanal)'!F30)/7/B38*100,IF(SUM('Entrada Prod (semanal)'!$H$3:$H$108)&gt;0,('Entrada Prod (semanal)'!H30), ))</f>
        <v>0</v>
      </c>
      <c r="H38" s="61">
        <f t="shared" si="19"/>
        <v>0</v>
      </c>
      <c r="I38" s="145">
        <f t="shared" si="0"/>
        <v>143.9676</v>
      </c>
      <c r="J38" s="169">
        <f t="shared" si="0"/>
        <v>0</v>
      </c>
      <c r="K38" s="61">
        <f>IF(ISNUMBER('Entrada Prod (semanal)'!I30),'Entrada Prod (semanal)'!I30,K37)</f>
        <v>0</v>
      </c>
      <c r="L38" s="42">
        <v>64.55</v>
      </c>
      <c r="M38" s="36">
        <f>IF(H38&lt;&gt;0,SUMPRODUCT(($K$11:K38)*($X$11:X38)/H38),0)</f>
        <v>0</v>
      </c>
      <c r="N38" s="60">
        <f>IF(I38&lt;&gt;0,SUMPRODUCT(($L$11:L38)*($Y$11:Y38)/I38),0)</f>
        <v>60.376592858393145</v>
      </c>
      <c r="O38" s="61">
        <f t="shared" si="1"/>
        <v>0</v>
      </c>
      <c r="P38" s="110">
        <f t="shared" si="2"/>
        <v>60.334759467758559</v>
      </c>
      <c r="Q38" s="102">
        <f t="shared" si="9"/>
        <v>0</v>
      </c>
      <c r="R38" s="103">
        <f t="shared" si="10"/>
        <v>8.6922731699999982</v>
      </c>
      <c r="S38" s="85">
        <f t="shared" si="3"/>
        <v>0</v>
      </c>
      <c r="T38" s="138">
        <f t="shared" si="4"/>
        <v>91.319999999999979</v>
      </c>
      <c r="U38" s="169">
        <f t="shared" si="5"/>
        <v>0</v>
      </c>
      <c r="V38" s="352">
        <f t="shared" si="17"/>
        <v>86.926919140225337</v>
      </c>
      <c r="W38" s="352">
        <f t="shared" si="18"/>
        <v>9.3469805527124095</v>
      </c>
      <c r="X38" s="357">
        <f t="shared" si="11"/>
        <v>0</v>
      </c>
      <c r="Y38" s="357">
        <f t="shared" si="12"/>
        <v>6.3924000000000092</v>
      </c>
      <c r="Z38" s="357" t="str">
        <f t="shared" si="6"/>
        <v/>
      </c>
      <c r="AA38" s="357" t="str">
        <f t="shared" si="7"/>
        <v/>
      </c>
      <c r="AB38" s="350">
        <f t="shared" si="16"/>
        <v>0</v>
      </c>
      <c r="AC38" s="350">
        <f t="shared" si="13"/>
        <v>100</v>
      </c>
      <c r="AD38" s="350">
        <f t="shared" si="14"/>
        <v>0</v>
      </c>
      <c r="AE38" s="357">
        <f t="shared" si="15"/>
        <v>0</v>
      </c>
    </row>
    <row r="39" spans="1:31" x14ac:dyDescent="0.25">
      <c r="A39" s="270">
        <v>43</v>
      </c>
      <c r="B39" s="48">
        <f t="array" ref="B39">IF(SUM('Entrada Prod (semanal)'!C$3:C$108)&gt;0,$Q$7-SUM('Entrada Prod (semanal)'!C$3:C31),IF(SUM('Entrada Prod (semanal)'!$D$3:D136)&gt;0,$Q$7-SUM('Entrada Prod (semanal)'!$D$3:D31)/100*$Q$7,$Q$7))</f>
        <v>0</v>
      </c>
      <c r="C39" s="36">
        <f>IF((Info!$J$5&gt;0),B39/$Q$7*100, )</f>
        <v>0</v>
      </c>
      <c r="D39" s="53">
        <v>97.599999999999795</v>
      </c>
      <c r="E39" s="85">
        <f t="array" ref="E39">IF(SUM('Entrada Prod (semanal)'!E$3:E$108)&gt;0,('Entrada Prod (semanal)'!E31)/7/B39*100,IF(SUM('Entrada Prod (semanal)'!$G$3:$G$108)&gt;0,('Entrada Prod (semanal)'!G31), ))</f>
        <v>0</v>
      </c>
      <c r="F39" s="186">
        <v>93.20696721311495</v>
      </c>
      <c r="G39" s="181">
        <f t="array" ref="G39">IF(SUM('Entrada Prod (semanal)'!F$3:F$108)&gt;0,('Entrada Prod (semanal)'!F31)/7/B39*100,IF(SUM('Entrada Prod (semanal)'!$H$3:$H$108)&gt;0,('Entrada Prod (semanal)'!H31), ))</f>
        <v>0</v>
      </c>
      <c r="H39" s="61">
        <f t="shared" si="19"/>
        <v>0</v>
      </c>
      <c r="I39" s="145">
        <f t="shared" si="0"/>
        <v>150.3355</v>
      </c>
      <c r="J39" s="169">
        <f t="shared" si="0"/>
        <v>0</v>
      </c>
      <c r="K39" s="61">
        <f>IF(ISNUMBER('Entrada Prod (semanal)'!I31),'Entrada Prod (semanal)'!I31,K38)</f>
        <v>0</v>
      </c>
      <c r="L39" s="42">
        <v>64.749999999999943</v>
      </c>
      <c r="M39" s="36">
        <f>IF(H39&lt;&gt;0,SUMPRODUCT(($K$11:K39)*($X$11:X39)/H39),0)</f>
        <v>0</v>
      </c>
      <c r="N39" s="60">
        <f>IF(I39&lt;&gt;0,SUMPRODUCT(($L$11:L39)*($Y$11:Y39)/I39),0)</f>
        <v>60.561841314925623</v>
      </c>
      <c r="O39" s="61">
        <f t="shared" si="1"/>
        <v>0</v>
      </c>
      <c r="P39" s="111">
        <f t="shared" si="2"/>
        <v>60.351511270491876</v>
      </c>
      <c r="Q39" s="102">
        <f t="shared" si="9"/>
        <v>0</v>
      </c>
      <c r="R39" s="103">
        <f t="shared" si="10"/>
        <v>9.1045946949999976</v>
      </c>
      <c r="S39" s="85">
        <f t="shared" si="3"/>
        <v>0</v>
      </c>
      <c r="T39" s="138">
        <f t="shared" si="4"/>
        <v>90.97</v>
      </c>
      <c r="U39" s="169">
        <f t="shared" si="5"/>
        <v>0</v>
      </c>
      <c r="V39" s="352">
        <f t="shared" si="17"/>
        <v>86.682479508196906</v>
      </c>
      <c r="W39" s="352">
        <f t="shared" si="18"/>
        <v>9.3206967213114922</v>
      </c>
      <c r="X39" s="357">
        <f t="shared" si="11"/>
        <v>0</v>
      </c>
      <c r="Y39" s="357">
        <f t="shared" si="12"/>
        <v>6.3678999999999917</v>
      </c>
      <c r="Z39" s="357" t="str">
        <f t="shared" si="6"/>
        <v/>
      </c>
      <c r="AA39" s="357" t="str">
        <f t="shared" si="7"/>
        <v/>
      </c>
      <c r="AB39" s="350">
        <f t="shared" si="16"/>
        <v>0</v>
      </c>
      <c r="AC39" s="350">
        <f t="shared" si="13"/>
        <v>100</v>
      </c>
      <c r="AD39" s="350">
        <f t="shared" si="14"/>
        <v>0</v>
      </c>
      <c r="AE39" s="357">
        <f t="shared" si="15"/>
        <v>0</v>
      </c>
    </row>
    <row r="40" spans="1:31" x14ac:dyDescent="0.25">
      <c r="A40" s="271">
        <v>44</v>
      </c>
      <c r="B40" s="49">
        <f t="array" ref="B40">IF(SUM('Entrada Prod (semanal)'!C$3:C$108)&gt;0,$Q$7-SUM('Entrada Prod (semanal)'!C$3:C32),IF(SUM('Entrada Prod (semanal)'!$D$3:D137)&gt;0,$Q$7-SUM('Entrada Prod (semanal)'!$D$3:D32)/100*$Q$7,$Q$7))</f>
        <v>0</v>
      </c>
      <c r="C40" s="37">
        <f>IF((Info!$J$5&gt;0),B40/$Q$7*100, )</f>
        <v>0</v>
      </c>
      <c r="D40" s="52">
        <v>97.499999999999801</v>
      </c>
      <c r="E40" s="86">
        <f t="array" ref="E40">IF(SUM('Entrada Prod (semanal)'!E$3:E$108)&gt;0,('Entrada Prod (semanal)'!E32)/7/B40*100,IF(SUM('Entrada Prod (semanal)'!$G$3:$G$108)&gt;0,('Entrada Prod (semanal)'!G32), ))</f>
        <v>0</v>
      </c>
      <c r="F40" s="185">
        <v>92.892307692307881</v>
      </c>
      <c r="G40" s="182">
        <f t="array" ref="G40">IF(SUM('Entrada Prod (semanal)'!F$3:F$108)&gt;0,('Entrada Prod (semanal)'!F32)/7/B40*100,IF(SUM('Entrada Prod (semanal)'!$H$3:$H$108)&gt;0,('Entrada Prod (semanal)'!H32), ))</f>
        <v>0</v>
      </c>
      <c r="H40" s="62">
        <f t="shared" si="19"/>
        <v>0</v>
      </c>
      <c r="I40" s="146">
        <f t="shared" si="0"/>
        <v>156.6754</v>
      </c>
      <c r="J40" s="170">
        <f t="shared" si="0"/>
        <v>0</v>
      </c>
      <c r="K40" s="62">
        <f>IF(ISNUMBER('Entrada Prod (semanal)'!I32),'Entrada Prod (semanal)'!I32,K39)</f>
        <v>0</v>
      </c>
      <c r="L40" s="45">
        <v>64.949999999999932</v>
      </c>
      <c r="M40" s="37">
        <f>IF(H40&lt;&gt;0,SUMPRODUCT(($K$11:K40)*($X$11:X40)/H40),0)</f>
        <v>0</v>
      </c>
      <c r="N40" s="63">
        <f>IF(I40&lt;&gt;0,SUMPRODUCT(($L$11:L40)*($Y$11:Y40)/I40),0)</f>
        <v>60.739408994647519</v>
      </c>
      <c r="O40" s="62">
        <f t="shared" si="1"/>
        <v>0</v>
      </c>
      <c r="P40" s="112">
        <f t="shared" si="2"/>
        <v>60.333553846153912</v>
      </c>
      <c r="Q40" s="104">
        <f t="shared" si="9"/>
        <v>0</v>
      </c>
      <c r="R40" s="105">
        <f t="shared" si="10"/>
        <v>9.5163711999999965</v>
      </c>
      <c r="S40" s="86">
        <f t="shared" si="3"/>
        <v>0</v>
      </c>
      <c r="T40" s="384">
        <f t="shared" si="4"/>
        <v>90.57</v>
      </c>
      <c r="U40" s="170">
        <f t="shared" si="5"/>
        <v>0</v>
      </c>
      <c r="V40" s="352">
        <f t="shared" si="17"/>
        <v>86.389846153846335</v>
      </c>
      <c r="W40" s="352">
        <f t="shared" si="18"/>
        <v>9.2892307692307838</v>
      </c>
      <c r="X40" s="357">
        <f t="shared" si="11"/>
        <v>0</v>
      </c>
      <c r="Y40" s="357">
        <f t="shared" si="12"/>
        <v>6.3399000000000001</v>
      </c>
      <c r="Z40" s="357" t="str">
        <f t="shared" si="6"/>
        <v/>
      </c>
      <c r="AA40" s="357" t="str">
        <f t="shared" si="7"/>
        <v/>
      </c>
      <c r="AB40" s="350">
        <f t="shared" si="16"/>
        <v>0</v>
      </c>
      <c r="AC40" s="350">
        <f t="shared" si="13"/>
        <v>100</v>
      </c>
      <c r="AD40" s="350">
        <f t="shared" si="14"/>
        <v>0</v>
      </c>
      <c r="AE40" s="357">
        <f t="shared" si="15"/>
        <v>0</v>
      </c>
    </row>
    <row r="41" spans="1:31" x14ac:dyDescent="0.25">
      <c r="A41" s="270">
        <v>45</v>
      </c>
      <c r="B41" s="48">
        <f t="array" ref="B41">IF(SUM('Entrada Prod (semanal)'!C$3:C$108)&gt;0,$Q$7-SUM('Entrada Prod (semanal)'!C$3:C33),IF(SUM('Entrada Prod (semanal)'!$D$3:D138)&gt;0,$Q$7-SUM('Entrada Prod (semanal)'!$D$3:D33)/100*$Q$7,$Q$7))</f>
        <v>0</v>
      </c>
      <c r="C41" s="36">
        <f>IF((Info!$J$5&gt;0),B41/$Q$7*100, )</f>
        <v>0</v>
      </c>
      <c r="D41" s="51">
        <v>97.399999999999793</v>
      </c>
      <c r="E41" s="85">
        <f t="array" ref="E41">IF(SUM('Entrada Prod (semanal)'!E$3:E$108)&gt;0,('Entrada Prod (semanal)'!E33)/7/B41*100,IF(SUM('Entrada Prod (semanal)'!$G$3:$G$108)&gt;0,('Entrada Prod (semanal)'!G33), ))</f>
        <v>0</v>
      </c>
      <c r="F41" s="186">
        <v>92.577002053388284</v>
      </c>
      <c r="G41" s="181">
        <f t="array" ref="G41">IF(SUM('Entrada Prod (semanal)'!F$3:F$108)&gt;0,('Entrada Prod (semanal)'!F33)/7/B41*100,IF(SUM('Entrada Prod (semanal)'!$H$3:$H$108)&gt;0,('Entrada Prod (semanal)'!H33), ))</f>
        <v>0</v>
      </c>
      <c r="H41" s="61">
        <f t="shared" si="19"/>
        <v>0</v>
      </c>
      <c r="I41" s="145">
        <f t="shared" si="0"/>
        <v>162.9873</v>
      </c>
      <c r="J41" s="169">
        <f t="shared" si="0"/>
        <v>0</v>
      </c>
      <c r="K41" s="61">
        <f>IF(ISNUMBER('Entrada Prod (semanal)'!I33),'Entrada Prod (semanal)'!I33,K40)</f>
        <v>0</v>
      </c>
      <c r="L41" s="43">
        <v>65.14999999999992</v>
      </c>
      <c r="M41" s="36">
        <f>IF(H41&lt;&gt;0,SUMPRODUCT(($K$11:K41)*($X$11:X41)/H41),0)</f>
        <v>0</v>
      </c>
      <c r="N41" s="60">
        <f>IF(I41&lt;&gt;0,SUMPRODUCT(($L$11:L41)*($Y$11:Y41)/I41),0)</f>
        <v>60.91021499834649</v>
      </c>
      <c r="O41" s="61">
        <f t="shared" si="1"/>
        <v>0</v>
      </c>
      <c r="P41" s="109">
        <f t="shared" si="2"/>
        <v>60.313916837782386</v>
      </c>
      <c r="Q41" s="102">
        <f t="shared" si="9"/>
        <v>0</v>
      </c>
      <c r="R41" s="103">
        <f t="shared" si="10"/>
        <v>9.9275914849999953</v>
      </c>
      <c r="S41" s="85">
        <f t="shared" si="3"/>
        <v>0</v>
      </c>
      <c r="T41" s="137">
        <f t="shared" si="4"/>
        <v>90.17</v>
      </c>
      <c r="U41" s="169">
        <f t="shared" si="5"/>
        <v>0</v>
      </c>
      <c r="V41" s="352">
        <f t="shared" si="17"/>
        <v>86.096611909651102</v>
      </c>
      <c r="W41" s="352">
        <f t="shared" si="18"/>
        <v>9.2577002053388355</v>
      </c>
      <c r="X41" s="357">
        <f t="shared" si="11"/>
        <v>0</v>
      </c>
      <c r="Y41" s="357">
        <f t="shared" si="12"/>
        <v>6.3119000000000085</v>
      </c>
      <c r="Z41" s="357" t="str">
        <f t="shared" si="6"/>
        <v/>
      </c>
      <c r="AA41" s="357" t="str">
        <f t="shared" si="7"/>
        <v/>
      </c>
      <c r="AB41" s="350">
        <f t="shared" si="16"/>
        <v>0</v>
      </c>
      <c r="AC41" s="350">
        <f t="shared" si="13"/>
        <v>100</v>
      </c>
      <c r="AD41" s="350">
        <f t="shared" si="14"/>
        <v>0</v>
      </c>
      <c r="AE41" s="357">
        <f t="shared" si="15"/>
        <v>0</v>
      </c>
    </row>
    <row r="42" spans="1:31" x14ac:dyDescent="0.25">
      <c r="A42" s="270">
        <v>46</v>
      </c>
      <c r="B42" s="48">
        <f t="array" ref="B42">IF(SUM('Entrada Prod (semanal)'!C$3:C$108)&gt;0,$Q$7-SUM('Entrada Prod (semanal)'!C$3:C34),IF(SUM('Entrada Prod (semanal)'!$D$3:D139)&gt;0,$Q$7-SUM('Entrada Prod (semanal)'!$D$3:D34)/100*$Q$7,$Q$7))</f>
        <v>0</v>
      </c>
      <c r="C42" s="36">
        <f>IF((Info!$J$5&gt;0),B42/$Q$7*100, )</f>
        <v>0</v>
      </c>
      <c r="D42" s="51">
        <v>97.299999999999784</v>
      </c>
      <c r="E42" s="85">
        <f t="array" ref="E42">IF(SUM('Entrada Prod (semanal)'!E$3:E$108)&gt;0,('Entrada Prod (semanal)'!E34)/7/B42*100,IF(SUM('Entrada Prod (semanal)'!$G$3:$G$108)&gt;0,('Entrada Prod (semanal)'!G34), ))</f>
        <v>0</v>
      </c>
      <c r="F42" s="186">
        <v>92.261048304213972</v>
      </c>
      <c r="G42" s="181">
        <f t="array" ref="G42">IF(SUM('Entrada Prod (semanal)'!F$3:F$108)&gt;0,('Entrada Prod (semanal)'!F34)/7/B42*100,IF(SUM('Entrada Prod (semanal)'!$H$3:$H$108)&gt;0,('Entrada Prod (semanal)'!H34), ))</f>
        <v>0</v>
      </c>
      <c r="H42" s="61">
        <f t="shared" si="19"/>
        <v>0</v>
      </c>
      <c r="I42" s="145">
        <f t="shared" si="0"/>
        <v>169.27119999999999</v>
      </c>
      <c r="J42" s="169">
        <f t="shared" si="0"/>
        <v>0</v>
      </c>
      <c r="K42" s="61">
        <f>IF(ISNUMBER('Entrada Prod (semanal)'!I34),'Entrada Prod (semanal)'!I34,K41)</f>
        <v>0</v>
      </c>
      <c r="L42" s="43">
        <v>65.349999999999909</v>
      </c>
      <c r="M42" s="36">
        <f>IF(H42&lt;&gt;0,SUMPRODUCT(($K$11:K42)*($X$11:X42)/H42),0)</f>
        <v>0</v>
      </c>
      <c r="N42" s="60">
        <f>IF(I42&lt;&gt;0,SUMPRODUCT(($L$11:L42)*($Y$11:Y42)/I42),0)</f>
        <v>61.075034323617942</v>
      </c>
      <c r="O42" s="61">
        <f t="shared" si="1"/>
        <v>0</v>
      </c>
      <c r="P42" s="109">
        <f t="shared" si="2"/>
        <v>60.292595066803749</v>
      </c>
      <c r="Q42" s="102">
        <f t="shared" si="9"/>
        <v>0</v>
      </c>
      <c r="R42" s="103">
        <f t="shared" si="10"/>
        <v>10.338244349999995</v>
      </c>
      <c r="S42" s="85">
        <f t="shared" si="3"/>
        <v>0</v>
      </c>
      <c r="T42" s="143">
        <f t="shared" si="4"/>
        <v>89.77</v>
      </c>
      <c r="U42" s="169">
        <f t="shared" si="5"/>
        <v>0</v>
      </c>
      <c r="V42" s="352">
        <f t="shared" si="17"/>
        <v>85.802774922918999</v>
      </c>
      <c r="W42" s="352">
        <f t="shared" si="18"/>
        <v>9.2261048304213915</v>
      </c>
      <c r="X42" s="357">
        <f t="shared" si="11"/>
        <v>0</v>
      </c>
      <c r="Y42" s="357">
        <f t="shared" si="12"/>
        <v>6.2838999999999885</v>
      </c>
      <c r="Z42" s="357" t="str">
        <f t="shared" si="6"/>
        <v/>
      </c>
      <c r="AA42" s="357" t="str">
        <f t="shared" si="7"/>
        <v/>
      </c>
      <c r="AB42" s="350">
        <f t="shared" si="16"/>
        <v>0</v>
      </c>
      <c r="AC42" s="350">
        <f t="shared" si="13"/>
        <v>100</v>
      </c>
      <c r="AD42" s="350">
        <f t="shared" si="14"/>
        <v>0</v>
      </c>
      <c r="AE42" s="357">
        <f t="shared" si="15"/>
        <v>0</v>
      </c>
    </row>
    <row r="43" spans="1:31" x14ac:dyDescent="0.25">
      <c r="A43" s="270">
        <v>47</v>
      </c>
      <c r="B43" s="48">
        <f t="array" ref="B43">IF(SUM('Entrada Prod (semanal)'!C$3:C$108)&gt;0,$Q$7-SUM('Entrada Prod (semanal)'!C$3:C35),IF(SUM('Entrada Prod (semanal)'!$D$3:D140)&gt;0,$Q$7-SUM('Entrada Prod (semanal)'!$D$3:D35)/100*$Q$7,$Q$7))</f>
        <v>0</v>
      </c>
      <c r="C43" s="36">
        <f>IF((Info!$J$5&gt;0),B43/$Q$7*100, )</f>
        <v>0</v>
      </c>
      <c r="D43" s="51">
        <v>97.19999999999979</v>
      </c>
      <c r="E43" s="85">
        <f t="array" ref="E43">IF(SUM('Entrada Prod (semanal)'!E$3:E$108)&gt;0,('Entrada Prod (semanal)'!E35)/7/B43*100,IF(SUM('Entrada Prod (semanal)'!$G$3:$G$108)&gt;0,('Entrada Prod (semanal)'!G35), ))</f>
        <v>0</v>
      </c>
      <c r="F43" s="186">
        <v>91.944444444444656</v>
      </c>
      <c r="G43" s="181">
        <f t="array" ref="G43">IF(SUM('Entrada Prod (semanal)'!F$3:F$108)&gt;0,('Entrada Prod (semanal)'!F35)/7/B43*100,IF(SUM('Entrada Prod (semanal)'!$H$3:$H$108)&gt;0,('Entrada Prod (semanal)'!H35), ))</f>
        <v>0</v>
      </c>
      <c r="H43" s="61">
        <f t="shared" si="19"/>
        <v>0</v>
      </c>
      <c r="I43" s="145">
        <f t="shared" si="0"/>
        <v>175.52709999999999</v>
      </c>
      <c r="J43" s="169">
        <f t="shared" si="0"/>
        <v>0</v>
      </c>
      <c r="K43" s="61">
        <f>IF(ISNUMBER('Entrada Prod (semanal)'!I35),'Entrada Prod (semanal)'!I35,K42)</f>
        <v>0</v>
      </c>
      <c r="L43" s="43">
        <v>65.549999999999898</v>
      </c>
      <c r="M43" s="36">
        <f>IF(H43&lt;&gt;0,SUMPRODUCT(($K$11:K43)*($X$11:X43)/H43),0)</f>
        <v>0</v>
      </c>
      <c r="N43" s="60">
        <f>IF(I43&lt;&gt;0,SUMPRODUCT(($L$11:L43)*($Y$11:Y43)/I43),0)</f>
        <v>61.234525010667852</v>
      </c>
      <c r="O43" s="61">
        <f t="shared" si="1"/>
        <v>0</v>
      </c>
      <c r="P43" s="109">
        <f t="shared" si="2"/>
        <v>60.269583333333372</v>
      </c>
      <c r="Q43" s="102">
        <f t="shared" si="9"/>
        <v>0</v>
      </c>
      <c r="R43" s="103">
        <f t="shared" si="10"/>
        <v>10.748318594999994</v>
      </c>
      <c r="S43" s="85">
        <f t="shared" si="3"/>
        <v>0</v>
      </c>
      <c r="T43" s="143">
        <f t="shared" si="4"/>
        <v>89.370000000000019</v>
      </c>
      <c r="U43" s="169">
        <f t="shared" si="5"/>
        <v>0</v>
      </c>
      <c r="V43" s="352">
        <f t="shared" si="17"/>
        <v>85.508333333333525</v>
      </c>
      <c r="W43" s="352">
        <f t="shared" si="18"/>
        <v>9.1944444444444713</v>
      </c>
      <c r="X43" s="357">
        <f t="shared" si="11"/>
        <v>0</v>
      </c>
      <c r="Y43" s="357">
        <f t="shared" si="12"/>
        <v>6.2558999999999969</v>
      </c>
      <c r="Z43" s="357" t="str">
        <f t="shared" si="6"/>
        <v/>
      </c>
      <c r="AA43" s="357" t="str">
        <f t="shared" si="7"/>
        <v/>
      </c>
      <c r="AB43" s="350">
        <f t="shared" si="16"/>
        <v>0</v>
      </c>
      <c r="AC43" s="350">
        <f t="shared" si="13"/>
        <v>100</v>
      </c>
      <c r="AD43" s="350">
        <f t="shared" si="14"/>
        <v>0</v>
      </c>
      <c r="AE43" s="357">
        <f t="shared" si="15"/>
        <v>0</v>
      </c>
    </row>
    <row r="44" spans="1:31" x14ac:dyDescent="0.25">
      <c r="A44" s="271">
        <v>48</v>
      </c>
      <c r="B44" s="49">
        <f t="array" ref="B44">IF(SUM('Entrada Prod (semanal)'!C$3:C$108)&gt;0,$Q$7-SUM('Entrada Prod (semanal)'!C$3:C36),IF(SUM('Entrada Prod (semanal)'!$D$3:D141)&gt;0,$Q$7-SUM('Entrada Prod (semanal)'!$D$3:D36)/100*$Q$7,$Q$7))</f>
        <v>0</v>
      </c>
      <c r="C44" s="37">
        <f>IF((Info!$J$5&gt;0),B44/$Q$7*100, )</f>
        <v>0</v>
      </c>
      <c r="D44" s="54">
        <v>97.099999999999781</v>
      </c>
      <c r="E44" s="86">
        <f t="array" ref="E44">IF(SUM('Entrada Prod (semanal)'!E$3:E$108)&gt;0,('Entrada Prod (semanal)'!E36)/7/B44*100,IF(SUM('Entrada Prod (semanal)'!$G$3:$G$108)&gt;0,('Entrada Prod (semanal)'!G36), ))</f>
        <v>0</v>
      </c>
      <c r="F44" s="185">
        <v>91.627188465499685</v>
      </c>
      <c r="G44" s="182">
        <f t="array" ref="G44">IF(SUM('Entrada Prod (semanal)'!F$3:F$108)&gt;0,('Entrada Prod (semanal)'!F36)/7/B44*100,IF(SUM('Entrada Prod (semanal)'!$H$3:$H$108)&gt;0,('Entrada Prod (semanal)'!H36), ))</f>
        <v>0</v>
      </c>
      <c r="H44" s="62">
        <f t="shared" si="19"/>
        <v>0</v>
      </c>
      <c r="I44" s="146">
        <f t="shared" ref="I44:J75" si="20">IF(ISNUMBER(T44),7*T44/100+I43, )</f>
        <v>181.755</v>
      </c>
      <c r="J44" s="170">
        <f t="shared" si="20"/>
        <v>0</v>
      </c>
      <c r="K44" s="62">
        <f>IF(ISNUMBER('Entrada Prod (semanal)'!I36),'Entrada Prod (semanal)'!I36,K43)</f>
        <v>0</v>
      </c>
      <c r="L44" s="44">
        <v>65.699999999999903</v>
      </c>
      <c r="M44" s="37">
        <f>IF(H44&lt;&gt;0,SUMPRODUCT(($K$11:K44)*($X$11:X44)/H44),0)</f>
        <v>0</v>
      </c>
      <c r="N44" s="63">
        <f>IF(I44&lt;&gt;0,SUMPRODUCT(($L$11:L44)*($Y$11:Y44)/I44),0)</f>
        <v>61.38753610629692</v>
      </c>
      <c r="O44" s="62">
        <f t="shared" si="1"/>
        <v>0</v>
      </c>
      <c r="P44" s="113">
        <f t="shared" si="2"/>
        <v>60.199062821833202</v>
      </c>
      <c r="Q44" s="104">
        <f t="shared" si="9"/>
        <v>0</v>
      </c>
      <c r="R44" s="105">
        <f t="shared" si="10"/>
        <v>11.157491624999993</v>
      </c>
      <c r="S44" s="86">
        <f t="shared" si="3"/>
        <v>0</v>
      </c>
      <c r="T44" s="374">
        <f t="shared" si="4"/>
        <v>88.97</v>
      </c>
      <c r="U44" s="170">
        <f t="shared" si="5"/>
        <v>0</v>
      </c>
      <c r="V44" s="352">
        <f t="shared" si="17"/>
        <v>85.213285272914703</v>
      </c>
      <c r="W44" s="352">
        <f t="shared" si="18"/>
        <v>9.1627188465499785</v>
      </c>
      <c r="X44" s="357">
        <f t="shared" si="11"/>
        <v>0</v>
      </c>
      <c r="Y44" s="357">
        <f t="shared" si="12"/>
        <v>6.2279000000000053</v>
      </c>
      <c r="Z44" s="357" t="str">
        <f t="shared" si="6"/>
        <v/>
      </c>
      <c r="AA44" s="357" t="str">
        <f t="shared" si="7"/>
        <v/>
      </c>
      <c r="AB44" s="350">
        <f t="shared" si="16"/>
        <v>0</v>
      </c>
      <c r="AC44" s="350">
        <f t="shared" si="13"/>
        <v>100</v>
      </c>
      <c r="AD44" s="350">
        <f t="shared" si="14"/>
        <v>0</v>
      </c>
      <c r="AE44" s="357">
        <f t="shared" si="15"/>
        <v>0</v>
      </c>
    </row>
    <row r="45" spans="1:31" x14ac:dyDescent="0.25">
      <c r="A45" s="270">
        <v>49</v>
      </c>
      <c r="B45" s="48">
        <f t="array" ref="B45">IF(SUM('Entrada Prod (semanal)'!C$3:C$108)&gt;0,$Q$7-SUM('Entrada Prod (semanal)'!C$3:C37),IF(SUM('Entrada Prod (semanal)'!$D$3:D142)&gt;0,$Q$7-SUM('Entrada Prod (semanal)'!$D$3:D37)/100*$Q$7,$Q$7))</f>
        <v>0</v>
      </c>
      <c r="C45" s="36">
        <f>IF((Info!$J$5&gt;0),B45/$Q$7*100, )</f>
        <v>0</v>
      </c>
      <c r="D45" s="51">
        <v>96.999999999999773</v>
      </c>
      <c r="E45" s="85">
        <f t="array" ref="E45">IF(SUM('Entrada Prod (semanal)'!E$3:E$108)&gt;0,('Entrada Prod (semanal)'!E37)/7/B45*100,IF(SUM('Entrada Prod (semanal)'!$G$3:$G$108)&gt;0,('Entrada Prod (semanal)'!G37), ))</f>
        <v>0</v>
      </c>
      <c r="F45" s="186">
        <v>91.309278350515669</v>
      </c>
      <c r="G45" s="181">
        <f t="array" ref="G45">IF(SUM('Entrada Prod (semanal)'!F$3:F$108)&gt;0,('Entrada Prod (semanal)'!F37)/7/B45*100,IF(SUM('Entrada Prod (semanal)'!$H$3:$H$108)&gt;0,('Entrada Prod (semanal)'!H37), ))</f>
        <v>0</v>
      </c>
      <c r="H45" s="61">
        <f t="shared" ref="H45:H60" si="21">7*S45/100+H44</f>
        <v>0</v>
      </c>
      <c r="I45" s="145">
        <f t="shared" si="20"/>
        <v>187.95490000000001</v>
      </c>
      <c r="J45" s="169">
        <f t="shared" si="20"/>
        <v>0</v>
      </c>
      <c r="K45" s="61">
        <f>IF(ISNUMBER('Entrada Prod (semanal)'!I37),'Entrada Prod (semanal)'!I37,K44)</f>
        <v>0</v>
      </c>
      <c r="L45" s="43">
        <v>65.849999999999909</v>
      </c>
      <c r="M45" s="36">
        <f>IF(H45&lt;&gt;0,SUMPRODUCT(($K$11:K45)*($X$11:X45)/H45),0)</f>
        <v>0</v>
      </c>
      <c r="N45" s="60">
        <f>IF(I45&lt;&gt;0,SUMPRODUCT(($L$11:L45)*($Y$11:Y45)/I45),0)</f>
        <v>61.534735407270553</v>
      </c>
      <c r="O45" s="61">
        <f t="shared" si="1"/>
        <v>0</v>
      </c>
      <c r="P45" s="109">
        <f t="shared" si="2"/>
        <v>60.127159793814478</v>
      </c>
      <c r="Q45" s="102">
        <f t="shared" si="9"/>
        <v>0</v>
      </c>
      <c r="R45" s="103">
        <f t="shared" si="10"/>
        <v>11.565755039999992</v>
      </c>
      <c r="S45" s="85">
        <f t="shared" si="3"/>
        <v>0</v>
      </c>
      <c r="T45" s="143">
        <f t="shared" si="4"/>
        <v>88.57</v>
      </c>
      <c r="U45" s="169">
        <f t="shared" si="5"/>
        <v>0</v>
      </c>
      <c r="V45" s="352">
        <f t="shared" si="17"/>
        <v>84.917628865979566</v>
      </c>
      <c r="W45" s="352">
        <f t="shared" si="18"/>
        <v>9.1309278350515797</v>
      </c>
      <c r="X45" s="357">
        <f t="shared" ref="X45:X76" si="22">H45-H44</f>
        <v>0</v>
      </c>
      <c r="Y45" s="357">
        <f t="shared" si="12"/>
        <v>6.1999000000000137</v>
      </c>
      <c r="Z45" s="357" t="str">
        <f t="shared" si="6"/>
        <v/>
      </c>
      <c r="AA45" s="357" t="str">
        <f t="shared" si="7"/>
        <v/>
      </c>
      <c r="AB45" s="350">
        <f t="shared" si="16"/>
        <v>0</v>
      </c>
      <c r="AC45" s="350">
        <f t="shared" ref="AC45:AC76" si="23">IF(C45&lt;C44,D45,AC44)</f>
        <v>100</v>
      </c>
      <c r="AD45" s="350">
        <f t="shared" ref="AD45:AD76" si="24">IF(M45&gt;M44,N45,AD44)</f>
        <v>0</v>
      </c>
      <c r="AE45" s="357">
        <f t="shared" ref="AE45:AE76" si="25">IF(O45&gt;0,R45,AE44)</f>
        <v>0</v>
      </c>
    </row>
    <row r="46" spans="1:31" x14ac:dyDescent="0.25">
      <c r="A46" s="270">
        <v>50</v>
      </c>
      <c r="B46" s="48">
        <f t="array" ref="B46">IF(SUM('Entrada Prod (semanal)'!C$3:C$108)&gt;0,$Q$7-SUM('Entrada Prod (semanal)'!C$3:C38),IF(SUM('Entrada Prod (semanal)'!$D$3:D143)&gt;0,$Q$7-SUM('Entrada Prod (semanal)'!$D$3:D38)/100*$Q$7,$Q$7))</f>
        <v>0</v>
      </c>
      <c r="C46" s="36">
        <f>IF((Info!$J$5&gt;0),B46/$Q$7*100, )</f>
        <v>0</v>
      </c>
      <c r="D46" s="51">
        <v>96.899999999999764</v>
      </c>
      <c r="E46" s="85">
        <f t="array" ref="E46">IF(SUM('Entrada Prod (semanal)'!E$3:E$108)&gt;0,('Entrada Prod (semanal)'!E38)/7/B46*100,IF(SUM('Entrada Prod (semanal)'!$G$3:$G$108)&gt;0,('Entrada Prod (semanal)'!G38), ))</f>
        <v>0</v>
      </c>
      <c r="F46" s="186">
        <v>90.887512899897018</v>
      </c>
      <c r="G46" s="181">
        <f t="array" ref="G46">IF(SUM('Entrada Prod (semanal)'!F$3:F$108)&gt;0,('Entrada Prod (semanal)'!F38)/7/B46*100,IF(SUM('Entrada Prod (semanal)'!$H$3:$H$108)&gt;0,('Entrada Prod (semanal)'!H38), ))</f>
        <v>0</v>
      </c>
      <c r="H46" s="61">
        <f t="shared" si="21"/>
        <v>0</v>
      </c>
      <c r="I46" s="145">
        <f t="shared" si="20"/>
        <v>194.1198</v>
      </c>
      <c r="J46" s="169">
        <f t="shared" si="20"/>
        <v>0</v>
      </c>
      <c r="K46" s="61">
        <f>IF(ISNUMBER('Entrada Prod (semanal)'!I38),'Entrada Prod (semanal)'!I38,K45)</f>
        <v>0</v>
      </c>
      <c r="L46" s="43">
        <v>65.999999999999915</v>
      </c>
      <c r="M46" s="36">
        <f>IF(H46&lt;&gt;0,SUMPRODUCT(($K$11:K46)*($X$11:X46)/H46),0)</f>
        <v>0</v>
      </c>
      <c r="N46" s="60">
        <f>IF(I46&lt;&gt;0,SUMPRODUCT(($L$11:L46)*($Y$11:Y46)/I46),0)</f>
        <v>61.676544278327071</v>
      </c>
      <c r="O46" s="61">
        <f t="shared" si="1"/>
        <v>0</v>
      </c>
      <c r="P46" s="109">
        <f t="shared" si="2"/>
        <v>59.985758513931948</v>
      </c>
      <c r="Q46" s="102">
        <f t="shared" si="9"/>
        <v>0</v>
      </c>
      <c r="R46" s="103">
        <f t="shared" si="10"/>
        <v>11.972638439999992</v>
      </c>
      <c r="S46" s="85">
        <f t="shared" si="3"/>
        <v>0</v>
      </c>
      <c r="T46" s="143">
        <f t="shared" si="4"/>
        <v>88.07</v>
      </c>
      <c r="U46" s="169">
        <f t="shared" si="5"/>
        <v>0</v>
      </c>
      <c r="V46" s="352">
        <f t="shared" si="17"/>
        <v>84.525386996904231</v>
      </c>
      <c r="W46" s="352">
        <f t="shared" si="18"/>
        <v>9.0887512899897018</v>
      </c>
      <c r="X46" s="357">
        <f t="shared" si="22"/>
        <v>0</v>
      </c>
      <c r="Y46" s="357">
        <f t="shared" si="12"/>
        <v>6.1648999999999887</v>
      </c>
      <c r="Z46" s="357" t="str">
        <f t="shared" si="6"/>
        <v/>
      </c>
      <c r="AA46" s="357" t="str">
        <f t="shared" si="7"/>
        <v/>
      </c>
      <c r="AB46" s="350">
        <f t="shared" si="16"/>
        <v>0</v>
      </c>
      <c r="AC46" s="350">
        <f t="shared" si="23"/>
        <v>100</v>
      </c>
      <c r="AD46" s="350">
        <f t="shared" si="24"/>
        <v>0</v>
      </c>
      <c r="AE46" s="357">
        <f t="shared" si="25"/>
        <v>0</v>
      </c>
    </row>
    <row r="47" spans="1:31" x14ac:dyDescent="0.25">
      <c r="A47" s="270">
        <v>51</v>
      </c>
      <c r="B47" s="48">
        <f t="array" ref="B47">IF(SUM('Entrada Prod (semanal)'!C$3:C$108)&gt;0,$Q$7-SUM('Entrada Prod (semanal)'!C$3:C39),IF(SUM('Entrada Prod (semanal)'!$D$3:D144)&gt;0,$Q$7-SUM('Entrada Prod (semanal)'!$D$3:D39)/100*$Q$7,$Q$7))</f>
        <v>0</v>
      </c>
      <c r="C47" s="36">
        <f>IF((Info!$J$5&gt;0),B47/$Q$7*100, )</f>
        <v>0</v>
      </c>
      <c r="D47" s="51">
        <v>96.799999999999756</v>
      </c>
      <c r="E47" s="85">
        <f t="array" ref="E47">IF(SUM('Entrada Prod (semanal)'!E$3:E$108)&gt;0,('Entrada Prod (semanal)'!E39)/7/B47*100,IF(SUM('Entrada Prod (semanal)'!$G$3:$G$108)&gt;0,('Entrada Prod (semanal)'!G39), ))</f>
        <v>0</v>
      </c>
      <c r="F47" s="186">
        <v>90.464876033058076</v>
      </c>
      <c r="G47" s="181">
        <f t="array" ref="G47">IF(SUM('Entrada Prod (semanal)'!F$3:F$108)&gt;0,('Entrada Prod (semanal)'!F39)/7/B47*100,IF(SUM('Entrada Prod (semanal)'!$H$3:$H$108)&gt;0,('Entrada Prod (semanal)'!H39), ))</f>
        <v>0</v>
      </c>
      <c r="H47" s="61">
        <f t="shared" si="21"/>
        <v>0</v>
      </c>
      <c r="I47" s="145">
        <f t="shared" si="20"/>
        <v>200.24969999999999</v>
      </c>
      <c r="J47" s="169">
        <f t="shared" si="20"/>
        <v>0</v>
      </c>
      <c r="K47" s="61">
        <f>IF(ISNUMBER('Entrada Prod (semanal)'!I39),'Entrada Prod (semanal)'!I39,K46)</f>
        <v>0</v>
      </c>
      <c r="L47" s="43">
        <v>66.14999999999992</v>
      </c>
      <c r="M47" s="36">
        <f>IF(H47&lt;&gt;0,SUMPRODUCT(($K$11:K47)*($X$11:X47)/H47),0)</f>
        <v>0</v>
      </c>
      <c r="N47" s="60">
        <f>IF(I47&lt;&gt;0,SUMPRODUCT(($L$11:L47)*($Y$11:Y47)/I47),0)</f>
        <v>61.813482492108577</v>
      </c>
      <c r="O47" s="61">
        <f t="shared" si="1"/>
        <v>0</v>
      </c>
      <c r="P47" s="109">
        <f t="shared" si="2"/>
        <v>59.842515495867843</v>
      </c>
      <c r="Q47" s="102">
        <f t="shared" si="9"/>
        <v>0</v>
      </c>
      <c r="R47" s="103">
        <f t="shared" si="10"/>
        <v>12.378131324999991</v>
      </c>
      <c r="S47" s="85">
        <f t="shared" si="3"/>
        <v>0</v>
      </c>
      <c r="T47" s="143">
        <f t="shared" si="4"/>
        <v>87.57</v>
      </c>
      <c r="U47" s="169">
        <f t="shared" si="5"/>
        <v>0</v>
      </c>
      <c r="V47" s="352">
        <f t="shared" si="17"/>
        <v>84.132334710744004</v>
      </c>
      <c r="W47" s="352">
        <f t="shared" si="18"/>
        <v>9.0464876033058204</v>
      </c>
      <c r="X47" s="357">
        <f t="shared" si="22"/>
        <v>0</v>
      </c>
      <c r="Y47" s="357">
        <f t="shared" si="12"/>
        <v>6.1298999999999921</v>
      </c>
      <c r="Z47" s="357" t="str">
        <f t="shared" si="6"/>
        <v/>
      </c>
      <c r="AA47" s="357" t="str">
        <f t="shared" si="7"/>
        <v/>
      </c>
      <c r="AB47" s="350">
        <f t="shared" si="16"/>
        <v>0</v>
      </c>
      <c r="AC47" s="350">
        <f t="shared" si="23"/>
        <v>100</v>
      </c>
      <c r="AD47" s="350">
        <f t="shared" si="24"/>
        <v>0</v>
      </c>
      <c r="AE47" s="357">
        <f t="shared" si="25"/>
        <v>0</v>
      </c>
    </row>
    <row r="48" spans="1:31" x14ac:dyDescent="0.25">
      <c r="A48" s="271">
        <v>52</v>
      </c>
      <c r="B48" s="49">
        <f t="array" ref="B48">IF(SUM('Entrada Prod (semanal)'!C$3:C$108)&gt;0,$Q$7-SUM('Entrada Prod (semanal)'!C$3:C40),IF(SUM('Entrada Prod (semanal)'!$D$3:D145)&gt;0,$Q$7-SUM('Entrada Prod (semanal)'!$D$3:D40)/100*$Q$7,$Q$7))</f>
        <v>0</v>
      </c>
      <c r="C48" s="37">
        <f>IF((Info!$J$5&gt;0),B48/$Q$7*100, )</f>
        <v>0</v>
      </c>
      <c r="D48" s="54">
        <v>96.699999999999747</v>
      </c>
      <c r="E48" s="86">
        <f t="array" ref="E48">IF(SUM('Entrada Prod (semanal)'!E$3:E$108)&gt;0,('Entrada Prod (semanal)'!E40)/7/B48*100,IF(SUM('Entrada Prod (semanal)'!$G$3:$G$108)&gt;0,('Entrada Prod (semanal)'!G40), ))</f>
        <v>0</v>
      </c>
      <c r="F48" s="185">
        <v>90.041365046535901</v>
      </c>
      <c r="G48" s="182">
        <f t="array" ref="G48">IF(SUM('Entrada Prod (semanal)'!F$3:F$108)&gt;0,('Entrada Prod (semanal)'!F40)/7/B48*100,IF(SUM('Entrada Prod (semanal)'!$H$3:$H$108)&gt;0,('Entrada Prod (semanal)'!H40), ))</f>
        <v>0</v>
      </c>
      <c r="H48" s="62">
        <f t="shared" si="21"/>
        <v>0</v>
      </c>
      <c r="I48" s="146">
        <f t="shared" si="20"/>
        <v>206.34459999999999</v>
      </c>
      <c r="J48" s="170">
        <f t="shared" si="20"/>
        <v>0</v>
      </c>
      <c r="K48" s="62">
        <f>IF(ISNUMBER('Entrada Prod (semanal)'!I40),'Entrada Prod (semanal)'!I40,K47)</f>
        <v>0</v>
      </c>
      <c r="L48" s="44">
        <v>66.299999999999926</v>
      </c>
      <c r="M48" s="37">
        <f>IF(H48&lt;&gt;0,SUMPRODUCT(($K$11:K48)*($X$11:X48)/H48),0)</f>
        <v>0</v>
      </c>
      <c r="N48" s="63">
        <f>IF(I48&lt;&gt;0,SUMPRODUCT(($L$11:L48)*($Y$11:Y48)/I48),0)</f>
        <v>61.946002924234492</v>
      </c>
      <c r="O48" s="62">
        <f t="shared" si="1"/>
        <v>0</v>
      </c>
      <c r="P48" s="113">
        <f t="shared" si="2"/>
        <v>59.697425025853235</v>
      </c>
      <c r="Q48" s="104">
        <f t="shared" si="9"/>
        <v>0</v>
      </c>
      <c r="R48" s="105">
        <f t="shared" si="10"/>
        <v>12.782223194999991</v>
      </c>
      <c r="S48" s="86">
        <f t="shared" si="3"/>
        <v>0</v>
      </c>
      <c r="T48" s="374">
        <f t="shared" si="4"/>
        <v>87.069999999999979</v>
      </c>
      <c r="U48" s="170">
        <f t="shared" si="5"/>
        <v>0</v>
      </c>
      <c r="V48" s="352">
        <f t="shared" si="17"/>
        <v>83.738469493278387</v>
      </c>
      <c r="W48" s="352">
        <f t="shared" si="18"/>
        <v>9.0041365046535873</v>
      </c>
      <c r="X48" s="357">
        <f t="shared" si="22"/>
        <v>0</v>
      </c>
      <c r="Y48" s="357">
        <f t="shared" si="12"/>
        <v>6.0948999999999955</v>
      </c>
      <c r="Z48" s="357" t="str">
        <f t="shared" si="6"/>
        <v/>
      </c>
      <c r="AA48" s="357" t="str">
        <f t="shared" si="7"/>
        <v/>
      </c>
      <c r="AB48" s="350">
        <f t="shared" si="16"/>
        <v>0</v>
      </c>
      <c r="AC48" s="350">
        <f t="shared" si="23"/>
        <v>100</v>
      </c>
      <c r="AD48" s="350">
        <f t="shared" si="24"/>
        <v>0</v>
      </c>
      <c r="AE48" s="357">
        <f t="shared" si="25"/>
        <v>0</v>
      </c>
    </row>
    <row r="49" spans="1:31" x14ac:dyDescent="0.25">
      <c r="A49" s="270">
        <v>53</v>
      </c>
      <c r="B49" s="48">
        <f t="array" ref="B49">IF(SUM('Entrada Prod (semanal)'!C$3:C$108)&gt;0,$Q$7-SUM('Entrada Prod (semanal)'!C$3:C41),IF(SUM('Entrada Prod (semanal)'!$D$3:D146)&gt;0,$Q$7-SUM('Entrada Prod (semanal)'!$D$3:D41)/100*$Q$7,$Q$7))</f>
        <v>0</v>
      </c>
      <c r="C49" s="36">
        <f>IF((Info!$J$5&gt;0),B49/$Q$7*100, )</f>
        <v>0</v>
      </c>
      <c r="D49" s="51">
        <v>96.599999999999739</v>
      </c>
      <c r="E49" s="85">
        <f t="array" ref="E49">IF(SUM('Entrada Prod (semanal)'!E$3:E$108)&gt;0,('Entrada Prod (semanal)'!E41)/7/B49*100,IF(SUM('Entrada Prod (semanal)'!$G$3:$G$108)&gt;0,('Entrada Prod (semanal)'!G41), ))</f>
        <v>0</v>
      </c>
      <c r="F49" s="385">
        <v>89.616977225673111</v>
      </c>
      <c r="G49" s="181">
        <f t="array" ref="G49">IF(SUM('Entrada Prod (semanal)'!F$3:F$108)&gt;0,('Entrada Prod (semanal)'!F41)/7/B49*100,IF(SUM('Entrada Prod (semanal)'!$H$3:$H$108)&gt;0,('Entrada Prod (semanal)'!H41), ))</f>
        <v>0</v>
      </c>
      <c r="H49" s="61">
        <f t="shared" si="21"/>
        <v>0</v>
      </c>
      <c r="I49" s="145">
        <f t="shared" si="20"/>
        <v>212.40449999999998</v>
      </c>
      <c r="J49" s="169">
        <f t="shared" si="20"/>
        <v>0</v>
      </c>
      <c r="K49" s="61">
        <f>IF(ISNUMBER('Entrada Prod (semanal)'!I41),'Entrada Prod (semanal)'!I41,K48)</f>
        <v>0</v>
      </c>
      <c r="L49" s="43">
        <v>66.449999999999932</v>
      </c>
      <c r="M49" s="36">
        <f>IF(H49&lt;&gt;0,SUMPRODUCT(($K$11:K49)*($X$11:X49)/H49),0)</f>
        <v>0</v>
      </c>
      <c r="N49" s="60">
        <f>IF(I49&lt;&gt;0,SUMPRODUCT(($L$11:L49)*($Y$11:Y49)/I49),0)</f>
        <v>62.074501952642215</v>
      </c>
      <c r="O49" s="61">
        <f t="shared" si="1"/>
        <v>0</v>
      </c>
      <c r="P49" s="109">
        <f t="shared" si="2"/>
        <v>59.550481366459714</v>
      </c>
      <c r="Q49" s="102">
        <f t="shared" si="9"/>
        <v>0</v>
      </c>
      <c r="R49" s="103">
        <f t="shared" si="10"/>
        <v>13.184903549999991</v>
      </c>
      <c r="S49" s="85">
        <f t="shared" si="3"/>
        <v>0</v>
      </c>
      <c r="T49" s="143">
        <f t="shared" si="4"/>
        <v>86.569999999999979</v>
      </c>
      <c r="U49" s="169">
        <f t="shared" si="5"/>
        <v>0</v>
      </c>
      <c r="V49" s="352">
        <f t="shared" si="17"/>
        <v>83.343788819875996</v>
      </c>
      <c r="W49" s="352">
        <f t="shared" si="18"/>
        <v>8.9616977225673082</v>
      </c>
      <c r="X49" s="357">
        <f t="shared" si="22"/>
        <v>0</v>
      </c>
      <c r="Y49" s="357">
        <f t="shared" si="12"/>
        <v>6.059899999999999</v>
      </c>
      <c r="Z49" s="357" t="str">
        <f t="shared" si="6"/>
        <v/>
      </c>
      <c r="AA49" s="357" t="str">
        <f t="shared" si="7"/>
        <v/>
      </c>
      <c r="AB49" s="350">
        <f t="shared" si="16"/>
        <v>0</v>
      </c>
      <c r="AC49" s="350">
        <f t="shared" si="23"/>
        <v>100</v>
      </c>
      <c r="AD49" s="350">
        <f t="shared" si="24"/>
        <v>0</v>
      </c>
      <c r="AE49" s="357">
        <f t="shared" si="25"/>
        <v>0</v>
      </c>
    </row>
    <row r="50" spans="1:31" x14ac:dyDescent="0.25">
      <c r="A50" s="270">
        <v>54</v>
      </c>
      <c r="B50" s="48">
        <f t="array" ref="B50">IF(SUM('Entrada Prod (semanal)'!C$3:C$108)&gt;0,$Q$7-SUM('Entrada Prod (semanal)'!C$3:C42),IF(SUM('Entrada Prod (semanal)'!$D$3:D147)&gt;0,$Q$7-SUM('Entrada Prod (semanal)'!$D$3:D42)/100*$Q$7,$Q$7))</f>
        <v>0</v>
      </c>
      <c r="C50" s="36">
        <f>IF((Info!$J$5&gt;0),B50/$Q$7*100, )</f>
        <v>0</v>
      </c>
      <c r="D50" s="51">
        <v>96.49999999999973</v>
      </c>
      <c r="E50" s="85">
        <f t="array" ref="E50">IF(SUM('Entrada Prod (semanal)'!E$3:E$108)&gt;0,('Entrada Prod (semanal)'!E42)/7/B50*100,IF(SUM('Entrada Prod (semanal)'!$G$3:$G$108)&gt;0,('Entrada Prod (semanal)'!G42), ))</f>
        <v>0</v>
      </c>
      <c r="F50" s="385">
        <v>89.191709844559824</v>
      </c>
      <c r="G50" s="181">
        <f t="array" ref="G50">IF(SUM('Entrada Prod (semanal)'!F$3:F$108)&gt;0,('Entrada Prod (semanal)'!F42)/7/B50*100,IF(SUM('Entrada Prod (semanal)'!$H$3:$H$108)&gt;0,('Entrada Prod (semanal)'!H42), ))</f>
        <v>0</v>
      </c>
      <c r="H50" s="61">
        <f t="shared" si="21"/>
        <v>0</v>
      </c>
      <c r="I50" s="145">
        <f t="shared" si="20"/>
        <v>218.42939999999999</v>
      </c>
      <c r="J50" s="169">
        <f t="shared" si="20"/>
        <v>0</v>
      </c>
      <c r="K50" s="61">
        <f>IF(ISNUMBER('Entrada Prod (semanal)'!I42),'Entrada Prod (semanal)'!I42,K49)</f>
        <v>0</v>
      </c>
      <c r="L50" s="43">
        <v>66.549999999999926</v>
      </c>
      <c r="M50" s="36">
        <f>IF(H50&lt;&gt;0,SUMPRODUCT(($K$11:K50)*($X$11:X50)/H50),0)</f>
        <v>0</v>
      </c>
      <c r="N50" s="60">
        <f>IF(I50&lt;&gt;0,SUMPRODUCT(($L$11:L50)*($Y$11:Y50)/I50),0)</f>
        <v>62.197948833810813</v>
      </c>
      <c r="O50" s="61">
        <f t="shared" si="1"/>
        <v>0</v>
      </c>
      <c r="P50" s="109">
        <f t="shared" si="2"/>
        <v>59.357082901554492</v>
      </c>
      <c r="Q50" s="102">
        <f t="shared" si="9"/>
        <v>0</v>
      </c>
      <c r="R50" s="103">
        <f t="shared" si="10"/>
        <v>13.58586064499999</v>
      </c>
      <c r="S50" s="85">
        <f t="shared" si="3"/>
        <v>0</v>
      </c>
      <c r="T50" s="143">
        <f t="shared" si="4"/>
        <v>86.069999999999979</v>
      </c>
      <c r="U50" s="169">
        <f t="shared" si="5"/>
        <v>0</v>
      </c>
      <c r="V50" s="352">
        <f t="shared" si="17"/>
        <v>82.948290155440631</v>
      </c>
      <c r="W50" s="352">
        <f t="shared" si="18"/>
        <v>8.9191709844559881</v>
      </c>
      <c r="X50" s="357">
        <f t="shared" si="22"/>
        <v>0</v>
      </c>
      <c r="Y50" s="357">
        <f t="shared" si="12"/>
        <v>6.0249000000000024</v>
      </c>
      <c r="Z50" s="357" t="str">
        <f t="shared" si="6"/>
        <v/>
      </c>
      <c r="AA50" s="357" t="str">
        <f t="shared" si="7"/>
        <v/>
      </c>
      <c r="AB50" s="350">
        <f t="shared" si="16"/>
        <v>0</v>
      </c>
      <c r="AC50" s="350">
        <f t="shared" si="23"/>
        <v>100</v>
      </c>
      <c r="AD50" s="350">
        <f t="shared" si="24"/>
        <v>0</v>
      </c>
      <c r="AE50" s="357">
        <f t="shared" si="25"/>
        <v>0</v>
      </c>
    </row>
    <row r="51" spans="1:31" x14ac:dyDescent="0.25">
      <c r="A51" s="270">
        <v>55</v>
      </c>
      <c r="B51" s="48">
        <f t="array" ref="B51">IF(SUM('Entrada Prod (semanal)'!C$3:C$108)&gt;0,$Q$7-SUM('Entrada Prod (semanal)'!C$3:C43),IF(SUM('Entrada Prod (semanal)'!$D$3:D148)&gt;0,$Q$7-SUM('Entrada Prod (semanal)'!$D$3:D43)/100*$Q$7,$Q$7))</f>
        <v>0</v>
      </c>
      <c r="C51" s="36">
        <f>IF((Info!$J$5&gt;0),B51/$Q$7*100, )</f>
        <v>0</v>
      </c>
      <c r="D51" s="51">
        <v>96.399999999999721</v>
      </c>
      <c r="E51" s="85">
        <f t="array" ref="E51">IF(SUM('Entrada Prod (semanal)'!E$3:E$108)&gt;0,('Entrada Prod (semanal)'!E43)/7/B51*100,IF(SUM('Entrada Prod (semanal)'!$G$3:$G$108)&gt;0,('Entrada Prod (semanal)'!G43), ))</f>
        <v>0</v>
      </c>
      <c r="F51" s="385">
        <v>88.765560165975359</v>
      </c>
      <c r="G51" s="181">
        <f t="array" ref="G51">IF(SUM('Entrada Prod (semanal)'!F$3:F$108)&gt;0,('Entrada Prod (semanal)'!F43)/7/B51*100,IF(SUM('Entrada Prod (semanal)'!$H$3:$H$108)&gt;0,('Entrada Prod (semanal)'!H43), ))</f>
        <v>0</v>
      </c>
      <c r="H51" s="61">
        <f t="shared" si="21"/>
        <v>0</v>
      </c>
      <c r="I51" s="145">
        <f t="shared" si="20"/>
        <v>224.41929999999999</v>
      </c>
      <c r="J51" s="169">
        <f t="shared" si="20"/>
        <v>0</v>
      </c>
      <c r="K51" s="61">
        <f>IF(ISNUMBER('Entrada Prod (semanal)'!I43),'Entrada Prod (semanal)'!I43,K50)</f>
        <v>0</v>
      </c>
      <c r="L51" s="43">
        <v>66.64999999999992</v>
      </c>
      <c r="M51" s="36">
        <f>IF(H51&lt;&gt;0,SUMPRODUCT(($K$11:K51)*($X$11:X51)/H51),0)</f>
        <v>0</v>
      </c>
      <c r="N51" s="60">
        <f>IF(I51&lt;&gt;0,SUMPRODUCT(($L$11:L51)*($Y$11:Y51)/I51),0)</f>
        <v>62.316777032991354</v>
      </c>
      <c r="O51" s="61">
        <f t="shared" si="1"/>
        <v>0</v>
      </c>
      <c r="P51" s="109">
        <f t="shared" si="2"/>
        <v>59.162245850622504</v>
      </c>
      <c r="Q51" s="102">
        <f t="shared" si="9"/>
        <v>0</v>
      </c>
      <c r="R51" s="103">
        <f t="shared" si="10"/>
        <v>13.98508747999999</v>
      </c>
      <c r="S51" s="85">
        <f t="shared" si="3"/>
        <v>0</v>
      </c>
      <c r="T51" s="143">
        <f t="shared" si="4"/>
        <v>85.57</v>
      </c>
      <c r="U51" s="169">
        <f t="shared" si="5"/>
        <v>0</v>
      </c>
      <c r="V51" s="352">
        <f t="shared" si="17"/>
        <v>82.551970954357088</v>
      </c>
      <c r="W51" s="352">
        <f t="shared" si="18"/>
        <v>8.876556016597533</v>
      </c>
      <c r="X51" s="357">
        <f t="shared" si="22"/>
        <v>0</v>
      </c>
      <c r="Y51" s="357">
        <f t="shared" si="12"/>
        <v>5.9899000000000058</v>
      </c>
      <c r="Z51" s="357" t="str">
        <f t="shared" si="6"/>
        <v/>
      </c>
      <c r="AA51" s="357" t="str">
        <f t="shared" si="7"/>
        <v/>
      </c>
      <c r="AB51" s="350">
        <f t="shared" si="16"/>
        <v>0</v>
      </c>
      <c r="AC51" s="350">
        <f t="shared" si="23"/>
        <v>100</v>
      </c>
      <c r="AD51" s="350">
        <f t="shared" si="24"/>
        <v>0</v>
      </c>
      <c r="AE51" s="357">
        <f t="shared" si="25"/>
        <v>0</v>
      </c>
    </row>
    <row r="52" spans="1:31" x14ac:dyDescent="0.25">
      <c r="A52" s="271">
        <v>56</v>
      </c>
      <c r="B52" s="49">
        <f t="array" ref="B52">IF(SUM('Entrada Prod (semanal)'!C$3:C$108)&gt;0,$Q$7-SUM('Entrada Prod (semanal)'!C$3:C44),IF(SUM('Entrada Prod (semanal)'!$D$3:D149)&gt;0,$Q$7-SUM('Entrada Prod (semanal)'!$D$3:D44)/100*$Q$7,$Q$7))</f>
        <v>0</v>
      </c>
      <c r="C52" s="37">
        <f>IF((Info!$J$5&gt;0),B52/$Q$7*100, )</f>
        <v>0</v>
      </c>
      <c r="D52" s="54">
        <v>96.299999999999713</v>
      </c>
      <c r="E52" s="86">
        <f t="array" ref="E52">IF(SUM('Entrada Prod (semanal)'!E$3:E$108)&gt;0,('Entrada Prod (semanal)'!E44)/7/B52*100,IF(SUM('Entrada Prod (semanal)'!$G$3:$G$108)&gt;0,('Entrada Prod (semanal)'!G44), ))</f>
        <v>0</v>
      </c>
      <c r="F52" s="373">
        <v>88.286604361370976</v>
      </c>
      <c r="G52" s="182">
        <f t="array" ref="G52">IF(SUM('Entrada Prod (semanal)'!F$3:F$108)&gt;0,('Entrada Prod (semanal)'!F44)/7/B52*100,IF(SUM('Entrada Prod (semanal)'!$H$3:$H$108)&gt;0,('Entrada Prod (semanal)'!H44), ))</f>
        <v>0</v>
      </c>
      <c r="H52" s="62">
        <f t="shared" si="21"/>
        <v>0</v>
      </c>
      <c r="I52" s="146">
        <f t="shared" si="20"/>
        <v>230.3707</v>
      </c>
      <c r="J52" s="170">
        <f t="shared" si="20"/>
        <v>0</v>
      </c>
      <c r="K52" s="62">
        <f>IF(ISNUMBER('Entrada Prod (semanal)'!I44),'Entrada Prod (semanal)'!I44,K51)</f>
        <v>0</v>
      </c>
      <c r="L52" s="44">
        <v>66.749999999999915</v>
      </c>
      <c r="M52" s="37">
        <f>IF(H52&lt;&gt;0,SUMPRODUCT(($K$11:K52)*($X$11:X52)/H52),0)</f>
        <v>0</v>
      </c>
      <c r="N52" s="63">
        <f>IF(I52&lt;&gt;0,SUMPRODUCT(($L$11:L52)*($Y$11:Y52)/I52),0)</f>
        <v>62.431304979322441</v>
      </c>
      <c r="O52" s="62">
        <f t="shared" si="1"/>
        <v>0</v>
      </c>
      <c r="P52" s="113">
        <f t="shared" si="2"/>
        <v>58.931308411215049</v>
      </c>
      <c r="Q52" s="104">
        <f t="shared" si="9"/>
        <v>0</v>
      </c>
      <c r="R52" s="105">
        <f t="shared" si="10"/>
        <v>14.38234342999999</v>
      </c>
      <c r="S52" s="86">
        <f t="shared" si="3"/>
        <v>0</v>
      </c>
      <c r="T52" s="374">
        <f t="shared" si="4"/>
        <v>85.02</v>
      </c>
      <c r="U52" s="170">
        <f t="shared" si="5"/>
        <v>0</v>
      </c>
      <c r="V52" s="352">
        <f t="shared" si="17"/>
        <v>82.106542056075</v>
      </c>
      <c r="W52" s="352">
        <f t="shared" si="18"/>
        <v>8.8286604361370991</v>
      </c>
      <c r="X52" s="357">
        <f t="shared" si="22"/>
        <v>0</v>
      </c>
      <c r="Y52" s="357">
        <f t="shared" si="12"/>
        <v>5.9514000000000067</v>
      </c>
      <c r="Z52" s="357" t="str">
        <f t="shared" si="6"/>
        <v/>
      </c>
      <c r="AA52" s="357" t="str">
        <f t="shared" si="7"/>
        <v/>
      </c>
      <c r="AB52" s="350">
        <f t="shared" si="16"/>
        <v>0</v>
      </c>
      <c r="AC52" s="350">
        <f t="shared" si="23"/>
        <v>100</v>
      </c>
      <c r="AD52" s="350">
        <f t="shared" si="24"/>
        <v>0</v>
      </c>
      <c r="AE52" s="357">
        <f t="shared" si="25"/>
        <v>0</v>
      </c>
    </row>
    <row r="53" spans="1:31" x14ac:dyDescent="0.25">
      <c r="A53" s="270">
        <v>57</v>
      </c>
      <c r="B53" s="48">
        <f t="array" ref="B53">IF(SUM('Entrada Prod (semanal)'!C$3:C$108)&gt;0,$Q$7-SUM('Entrada Prod (semanal)'!C$3:C45),IF(SUM('Entrada Prod (semanal)'!$D$3:D150)&gt;0,$Q$7-SUM('Entrada Prod (semanal)'!$D$3:D45)/100*$Q$7,$Q$7))</f>
        <v>0</v>
      </c>
      <c r="C53" s="36">
        <f>IF((Info!$J$5&gt;0),B53/$Q$7*100, )</f>
        <v>0</v>
      </c>
      <c r="D53" s="51">
        <v>96.199999999999704</v>
      </c>
      <c r="E53" s="85">
        <f t="array" ref="E53">IF(SUM('Entrada Prod (semanal)'!E$3:E$108)&gt;0,('Entrada Prod (semanal)'!E45)/7/B53*100,IF(SUM('Entrada Prod (semanal)'!$G$3:$G$108)&gt;0,('Entrada Prod (semanal)'!G45), ))</f>
        <v>0</v>
      </c>
      <c r="F53" s="385">
        <v>87.806652806653076</v>
      </c>
      <c r="G53" s="181">
        <f t="array" ref="G53">IF(SUM('Entrada Prod (semanal)'!F$3:F$108)&gt;0,('Entrada Prod (semanal)'!F45)/7/B53*100,IF(SUM('Entrada Prod (semanal)'!$H$3:$H$108)&gt;0,('Entrada Prod (semanal)'!H45), ))</f>
        <v>0</v>
      </c>
      <c r="H53" s="61">
        <f t="shared" si="21"/>
        <v>0</v>
      </c>
      <c r="I53" s="145">
        <f t="shared" si="20"/>
        <v>236.28360000000001</v>
      </c>
      <c r="J53" s="169">
        <f t="shared" si="20"/>
        <v>0</v>
      </c>
      <c r="K53" s="61">
        <f>IF(ISNUMBER('Entrada Prod (semanal)'!I45),'Entrada Prod (semanal)'!I45,K52)</f>
        <v>0</v>
      </c>
      <c r="L53" s="43">
        <v>66.849999999999909</v>
      </c>
      <c r="M53" s="36">
        <f>IF(H53&lt;&gt;0,SUMPRODUCT(($K$11:K53)*($X$11:X53)/H53),0)</f>
        <v>0</v>
      </c>
      <c r="N53" s="60">
        <f>IF(I53&lt;&gt;0,SUMPRODUCT(($L$11:L53)*($Y$11:Y53)/I53),0)</f>
        <v>62.541881006553112</v>
      </c>
      <c r="O53" s="61">
        <f t="shared" si="1"/>
        <v>0</v>
      </c>
      <c r="P53" s="109">
        <f t="shared" si="2"/>
        <v>58.698747401247502</v>
      </c>
      <c r="Q53" s="102">
        <f t="shared" si="9"/>
        <v>0</v>
      </c>
      <c r="R53" s="103">
        <f t="shared" si="10"/>
        <v>14.77762079499999</v>
      </c>
      <c r="S53" s="85">
        <f t="shared" si="3"/>
        <v>0</v>
      </c>
      <c r="T53" s="143">
        <f t="shared" si="4"/>
        <v>84.47</v>
      </c>
      <c r="U53" s="169">
        <f t="shared" si="5"/>
        <v>0</v>
      </c>
      <c r="V53" s="352">
        <f t="shared" si="17"/>
        <v>81.660187110187366</v>
      </c>
      <c r="W53" s="352">
        <f t="shared" si="18"/>
        <v>8.7806652806653034</v>
      </c>
      <c r="X53" s="357">
        <f t="shared" si="22"/>
        <v>0</v>
      </c>
      <c r="Y53" s="357">
        <f t="shared" si="12"/>
        <v>5.9129000000000076</v>
      </c>
      <c r="Z53" s="357" t="str">
        <f t="shared" si="6"/>
        <v/>
      </c>
      <c r="AA53" s="357" t="str">
        <f t="shared" si="7"/>
        <v/>
      </c>
      <c r="AB53" s="350">
        <f t="shared" si="16"/>
        <v>0</v>
      </c>
      <c r="AC53" s="350">
        <f t="shared" si="23"/>
        <v>100</v>
      </c>
      <c r="AD53" s="350">
        <f t="shared" si="24"/>
        <v>0</v>
      </c>
      <c r="AE53" s="357">
        <f t="shared" si="25"/>
        <v>0</v>
      </c>
    </row>
    <row r="54" spans="1:31" x14ac:dyDescent="0.25">
      <c r="A54" s="270">
        <v>58</v>
      </c>
      <c r="B54" s="48">
        <f t="array" ref="B54">IF(SUM('Entrada Prod (semanal)'!C$3:C$108)&gt;0,$Q$7-SUM('Entrada Prod (semanal)'!C$3:C46),IF(SUM('Entrada Prod (semanal)'!$D$3:D151)&gt;0,$Q$7-SUM('Entrada Prod (semanal)'!$D$3:D46)/100*$Q$7,$Q$7))</f>
        <v>0</v>
      </c>
      <c r="C54" s="36">
        <f>IF((Info!$J$5&gt;0),B54/$Q$7*100, )</f>
        <v>0</v>
      </c>
      <c r="D54" s="51">
        <v>96.099999999999696</v>
      </c>
      <c r="E54" s="85">
        <f t="array" ref="E54">IF(SUM('Entrada Prod (semanal)'!E$3:E$108)&gt;0,('Entrada Prod (semanal)'!E46)/7/B54*100,IF(SUM('Entrada Prod (semanal)'!$G$3:$G$108)&gt;0,('Entrada Prod (semanal)'!G46), ))</f>
        <v>0</v>
      </c>
      <c r="F54" s="385">
        <v>87.325702393340549</v>
      </c>
      <c r="G54" s="181">
        <f t="array" ref="G54">IF(SUM('Entrada Prod (semanal)'!F$3:F$108)&gt;0,('Entrada Prod (semanal)'!F46)/7/B54*100,IF(SUM('Entrada Prod (semanal)'!$H$3:$H$108)&gt;0,('Entrada Prod (semanal)'!H46), ))</f>
        <v>0</v>
      </c>
      <c r="H54" s="61">
        <f t="shared" si="21"/>
        <v>0</v>
      </c>
      <c r="I54" s="145">
        <f t="shared" si="20"/>
        <v>242.15800000000002</v>
      </c>
      <c r="J54" s="169">
        <f t="shared" si="20"/>
        <v>0</v>
      </c>
      <c r="K54" s="61">
        <f>IF(ISNUMBER('Entrada Prod (semanal)'!I46),'Entrada Prod (semanal)'!I46,K53)</f>
        <v>0</v>
      </c>
      <c r="L54" s="43">
        <v>66.949999999999903</v>
      </c>
      <c r="M54" s="36">
        <f>IF(H54&lt;&gt;0,SUMPRODUCT(($K$11:K54)*($X$11:X54)/H54),0)</f>
        <v>0</v>
      </c>
      <c r="N54" s="60">
        <f>IF(I54&lt;&gt;0,SUMPRODUCT(($L$11:L54)*($Y$11:Y54)/I54),0)</f>
        <v>62.648815546048411</v>
      </c>
      <c r="O54" s="61">
        <f t="shared" si="1"/>
        <v>0</v>
      </c>
      <c r="P54" s="109">
        <f t="shared" si="2"/>
        <v>58.464557752341413</v>
      </c>
      <c r="Q54" s="102">
        <f t="shared" si="9"/>
        <v>0</v>
      </c>
      <c r="R54" s="103">
        <f t="shared" si="10"/>
        <v>15.170911874999989</v>
      </c>
      <c r="S54" s="85">
        <f t="shared" si="3"/>
        <v>0</v>
      </c>
      <c r="T54" s="136">
        <f t="shared" si="4"/>
        <v>83.92</v>
      </c>
      <c r="U54" s="169">
        <f t="shared" si="5"/>
        <v>0</v>
      </c>
      <c r="V54" s="352">
        <f t="shared" si="17"/>
        <v>81.212903225806713</v>
      </c>
      <c r="W54" s="352">
        <f t="shared" si="18"/>
        <v>8.7325702393340521</v>
      </c>
      <c r="X54" s="357">
        <f t="shared" si="22"/>
        <v>0</v>
      </c>
      <c r="Y54" s="357">
        <f t="shared" si="12"/>
        <v>5.8744000000000085</v>
      </c>
      <c r="Z54" s="357" t="str">
        <f t="shared" si="6"/>
        <v/>
      </c>
      <c r="AA54" s="357" t="str">
        <f t="shared" si="7"/>
        <v/>
      </c>
      <c r="AB54" s="350">
        <f t="shared" si="16"/>
        <v>0</v>
      </c>
      <c r="AC54" s="350">
        <f t="shared" si="23"/>
        <v>100</v>
      </c>
      <c r="AD54" s="350">
        <f t="shared" si="24"/>
        <v>0</v>
      </c>
      <c r="AE54" s="357">
        <f t="shared" si="25"/>
        <v>0</v>
      </c>
    </row>
    <row r="55" spans="1:31" x14ac:dyDescent="0.25">
      <c r="A55" s="270">
        <v>59</v>
      </c>
      <c r="B55" s="48">
        <f t="array" ref="B55">IF(SUM('Entrada Prod (semanal)'!C$3:C$108)&gt;0,$Q$7-SUM('Entrada Prod (semanal)'!C$3:C47),IF(SUM('Entrada Prod (semanal)'!$D$3:D152)&gt;0,$Q$7-SUM('Entrada Prod (semanal)'!$D$3:D47)/100*$Q$7,$Q$7))</f>
        <v>0</v>
      </c>
      <c r="C55" s="36">
        <f>IF((Info!$J$5&gt;0),B55/$Q$7*100, )</f>
        <v>0</v>
      </c>
      <c r="D55" s="51">
        <v>95.999999999999673</v>
      </c>
      <c r="E55" s="85">
        <f t="array" ref="E55">IF(SUM('Entrada Prod (semanal)'!E$3:E$108)&gt;0,('Entrada Prod (semanal)'!E47)/7/B55*100,IF(SUM('Entrada Prod (semanal)'!$G$3:$G$108)&gt;0,('Entrada Prod (semanal)'!G47), ))</f>
        <v>0</v>
      </c>
      <c r="F55" s="385">
        <v>86.791666666666956</v>
      </c>
      <c r="G55" s="181">
        <f t="array" ref="G55">IF(SUM('Entrada Prod (semanal)'!F$3:F$108)&gt;0,('Entrada Prod (semanal)'!F47)/7/B55*100,IF(SUM('Entrada Prod (semanal)'!$H$3:$H$108)&gt;0,('Entrada Prod (semanal)'!H47), ))</f>
        <v>0</v>
      </c>
      <c r="H55" s="61">
        <f t="shared" si="21"/>
        <v>0</v>
      </c>
      <c r="I55" s="145">
        <f t="shared" si="20"/>
        <v>247.99040000000002</v>
      </c>
      <c r="J55" s="169">
        <f t="shared" si="20"/>
        <v>0</v>
      </c>
      <c r="K55" s="61">
        <f>IF(ISNUMBER('Entrada Prod (semanal)'!I47),'Entrada Prod (semanal)'!I47,K54)</f>
        <v>0</v>
      </c>
      <c r="L55" s="43">
        <v>67.049999999999898</v>
      </c>
      <c r="M55" s="36">
        <f>IF(H55&lt;&gt;0,SUMPRODUCT(($K$11:K55)*($X$11:X55)/H55),0)</f>
        <v>0</v>
      </c>
      <c r="N55" s="60">
        <f>IF(I55&lt;&gt;0,SUMPRODUCT(($L$11:L55)*($Y$11:Y55)/I55),0)</f>
        <v>62.752325473082784</v>
      </c>
      <c r="O55" s="61">
        <f t="shared" si="1"/>
        <v>0</v>
      </c>
      <c r="P55" s="109">
        <f t="shared" si="2"/>
        <v>58.193812500000107</v>
      </c>
      <c r="Q55" s="102">
        <f t="shared" si="9"/>
        <v>0</v>
      </c>
      <c r="R55" s="103">
        <f t="shared" si="10"/>
        <v>15.561974294999988</v>
      </c>
      <c r="S55" s="85">
        <f t="shared" si="3"/>
        <v>0</v>
      </c>
      <c r="T55" s="136">
        <f t="shared" si="4"/>
        <v>83.32</v>
      </c>
      <c r="U55" s="169">
        <f t="shared" si="5"/>
        <v>0</v>
      </c>
      <c r="V55" s="352">
        <f t="shared" si="17"/>
        <v>80.716250000000272</v>
      </c>
      <c r="W55" s="352">
        <f t="shared" si="18"/>
        <v>8.6791666666666885</v>
      </c>
      <c r="X55" s="357">
        <f t="shared" si="22"/>
        <v>0</v>
      </c>
      <c r="Y55" s="357">
        <f t="shared" si="12"/>
        <v>5.8324000000000069</v>
      </c>
      <c r="Z55" s="357" t="str">
        <f t="shared" si="6"/>
        <v/>
      </c>
      <c r="AA55" s="357" t="str">
        <f t="shared" si="7"/>
        <v/>
      </c>
      <c r="AB55" s="350">
        <f t="shared" si="16"/>
        <v>0</v>
      </c>
      <c r="AC55" s="350">
        <f t="shared" si="23"/>
        <v>100</v>
      </c>
      <c r="AD55" s="350">
        <f t="shared" si="24"/>
        <v>0</v>
      </c>
      <c r="AE55" s="357">
        <f t="shared" si="25"/>
        <v>0</v>
      </c>
    </row>
    <row r="56" spans="1:31" x14ac:dyDescent="0.25">
      <c r="A56" s="271">
        <v>60</v>
      </c>
      <c r="B56" s="49">
        <f t="array" ref="B56">IF(SUM('Entrada Prod (semanal)'!C$3:C$108)&gt;0,$Q$7-SUM('Entrada Prod (semanal)'!C$3:C48),IF(SUM('Entrada Prod (semanal)'!$D$3:D153)&gt;0,$Q$7-SUM('Entrada Prod (semanal)'!$D$3:D48)/100*$Q$7,$Q$7))</f>
        <v>0</v>
      </c>
      <c r="C56" s="37">
        <f>IF((Info!$J$5&gt;0),B56/$Q$7*100, )</f>
        <v>0</v>
      </c>
      <c r="D56" s="54">
        <v>95.89999999999965</v>
      </c>
      <c r="E56" s="86">
        <f t="array" ref="E56">IF(SUM('Entrada Prod (semanal)'!E$3:E$108)&gt;0,('Entrada Prod (semanal)'!E48)/7/B56*100,IF(SUM('Entrada Prod (semanal)'!$G$3:$G$108)&gt;0,('Entrada Prod (semanal)'!G48), ))</f>
        <v>0</v>
      </c>
      <c r="F56" s="373">
        <v>86.256517205422625</v>
      </c>
      <c r="G56" s="182">
        <f t="array" ref="G56">IF(SUM('Entrada Prod (semanal)'!F$3:F$108)&gt;0,('Entrada Prod (semanal)'!F48)/7/B56*100,IF(SUM('Entrada Prod (semanal)'!$H$3:$H$108)&gt;0,('Entrada Prod (semanal)'!H48), ))</f>
        <v>0</v>
      </c>
      <c r="H56" s="62">
        <f t="shared" si="21"/>
        <v>0</v>
      </c>
      <c r="I56" s="146">
        <f t="shared" si="20"/>
        <v>253.78080000000003</v>
      </c>
      <c r="J56" s="170">
        <f t="shared" si="20"/>
        <v>0</v>
      </c>
      <c r="K56" s="62">
        <f>IF(ISNUMBER('Entrada Prod (semanal)'!I48),'Entrada Prod (semanal)'!I48,K55)</f>
        <v>0</v>
      </c>
      <c r="L56" s="44">
        <v>67.149999999999892</v>
      </c>
      <c r="M56" s="37">
        <f>IF(H56&lt;&gt;0,SUMPRODUCT(($K$11:K56)*($X$11:X56)/H56),0)</f>
        <v>0</v>
      </c>
      <c r="N56" s="63">
        <f>IF(I56&lt;&gt;0,SUMPRODUCT(($L$11:L56)*($Y$11:Y56)/I56),0)</f>
        <v>62.852665193741956</v>
      </c>
      <c r="O56" s="62">
        <f t="shared" si="1"/>
        <v>0</v>
      </c>
      <c r="P56" s="113">
        <f t="shared" si="2"/>
        <v>57.921251303441203</v>
      </c>
      <c r="Q56" s="104">
        <f t="shared" si="9"/>
        <v>0</v>
      </c>
      <c r="R56" s="105">
        <f t="shared" si="10"/>
        <v>15.950799654999987</v>
      </c>
      <c r="S56" s="86">
        <f t="shared" si="3"/>
        <v>0</v>
      </c>
      <c r="T56" s="141">
        <f t="shared" si="4"/>
        <v>82.72</v>
      </c>
      <c r="U56" s="170">
        <f t="shared" si="5"/>
        <v>0</v>
      </c>
      <c r="V56" s="352">
        <f t="shared" si="17"/>
        <v>80.218561001043042</v>
      </c>
      <c r="W56" s="352">
        <f t="shared" si="18"/>
        <v>8.6256517205422654</v>
      </c>
      <c r="X56" s="357">
        <f t="shared" si="22"/>
        <v>0</v>
      </c>
      <c r="Y56" s="357">
        <f t="shared" si="12"/>
        <v>5.7904000000000053</v>
      </c>
      <c r="Z56" s="357" t="str">
        <f t="shared" si="6"/>
        <v/>
      </c>
      <c r="AA56" s="357" t="str">
        <f t="shared" si="7"/>
        <v/>
      </c>
      <c r="AB56" s="350">
        <f t="shared" si="16"/>
        <v>0</v>
      </c>
      <c r="AC56" s="350">
        <f t="shared" si="23"/>
        <v>100</v>
      </c>
      <c r="AD56" s="350">
        <f t="shared" si="24"/>
        <v>0</v>
      </c>
      <c r="AE56" s="357">
        <f t="shared" si="25"/>
        <v>0</v>
      </c>
    </row>
    <row r="57" spans="1:31" x14ac:dyDescent="0.25">
      <c r="A57" s="270">
        <v>61</v>
      </c>
      <c r="B57" s="48">
        <f t="array" ref="B57">IF(SUM('Entrada Prod (semanal)'!C$3:C$108)&gt;0,$Q$7-SUM('Entrada Prod (semanal)'!C$3:C49),IF(SUM('Entrada Prod (semanal)'!$D$3:D154)&gt;0,$Q$7-SUM('Entrada Prod (semanal)'!$D$3:D49)/100*$Q$7,$Q$7))</f>
        <v>0</v>
      </c>
      <c r="C57" s="36">
        <f>IF((Info!$J$5&gt;0),B57/$Q$7*100, )</f>
        <v>0</v>
      </c>
      <c r="D57" s="51">
        <v>95.799999999999656</v>
      </c>
      <c r="E57" s="85">
        <f t="array" ref="E57">IF(SUM('Entrada Prod (semanal)'!E$3:E$108)&gt;0,('Entrada Prod (semanal)'!E49)/7/B57*100,IF(SUM('Entrada Prod (semanal)'!$G$3:$G$108)&gt;0,('Entrada Prod (semanal)'!G49), ))</f>
        <v>0</v>
      </c>
      <c r="F57" s="385">
        <v>85.720250521920988</v>
      </c>
      <c r="G57" s="181">
        <f t="array" ref="G57">IF(SUM('Entrada Prod (semanal)'!F$3:F$108)&gt;0,('Entrada Prod (semanal)'!F49)/7/B57*100,IF(SUM('Entrada Prod (semanal)'!$H$3:$H$108)&gt;0,('Entrada Prod (semanal)'!H49), ))</f>
        <v>0</v>
      </c>
      <c r="H57" s="61">
        <f t="shared" si="21"/>
        <v>0</v>
      </c>
      <c r="I57" s="145">
        <f t="shared" si="20"/>
        <v>259.5292</v>
      </c>
      <c r="J57" s="169">
        <f t="shared" si="20"/>
        <v>0</v>
      </c>
      <c r="K57" s="61">
        <f>IF(ISNUMBER('Entrada Prod (semanal)'!I49),'Entrada Prod (semanal)'!I49,K56)</f>
        <v>0</v>
      </c>
      <c r="L57" s="43">
        <v>67.249999999999886</v>
      </c>
      <c r="M57" s="36">
        <f>IF(H57&lt;&gt;0,SUMPRODUCT(($K$11:K57)*($X$11:X57)/H57),0)</f>
        <v>0</v>
      </c>
      <c r="N57" s="60">
        <f>IF(I57&lt;&gt;0,SUMPRODUCT(($L$11:L57)*($Y$11:Y57)/I57),0)</f>
        <v>62.950063249144968</v>
      </c>
      <c r="O57" s="61">
        <f t="shared" si="1"/>
        <v>0</v>
      </c>
      <c r="P57" s="109">
        <f t="shared" si="2"/>
        <v>57.646868475991766</v>
      </c>
      <c r="Q57" s="102">
        <f t="shared" si="9"/>
        <v>0</v>
      </c>
      <c r="R57" s="103">
        <f t="shared" si="10"/>
        <v>16.337379554999988</v>
      </c>
      <c r="S57" s="85">
        <f t="shared" si="3"/>
        <v>0</v>
      </c>
      <c r="T57" s="136">
        <f t="shared" si="4"/>
        <v>82.120000000000019</v>
      </c>
      <c r="U57" s="169">
        <f t="shared" si="5"/>
        <v>0</v>
      </c>
      <c r="V57" s="352">
        <f t="shared" si="17"/>
        <v>79.719832985386518</v>
      </c>
      <c r="W57" s="352">
        <f t="shared" si="18"/>
        <v>8.5720250521921031</v>
      </c>
      <c r="X57" s="357">
        <f t="shared" si="22"/>
        <v>0</v>
      </c>
      <c r="Y57" s="357">
        <f t="shared" si="12"/>
        <v>5.7483999999999753</v>
      </c>
      <c r="Z57" s="357" t="str">
        <f t="shared" si="6"/>
        <v/>
      </c>
      <c r="AA57" s="357" t="str">
        <f t="shared" si="7"/>
        <v/>
      </c>
      <c r="AB57" s="350">
        <f t="shared" si="16"/>
        <v>0</v>
      </c>
      <c r="AC57" s="350">
        <f t="shared" si="23"/>
        <v>100</v>
      </c>
      <c r="AD57" s="350">
        <f t="shared" si="24"/>
        <v>0</v>
      </c>
      <c r="AE57" s="357">
        <f t="shared" si="25"/>
        <v>0</v>
      </c>
    </row>
    <row r="58" spans="1:31" x14ac:dyDescent="0.25">
      <c r="A58" s="270">
        <v>62</v>
      </c>
      <c r="B58" s="48">
        <f t="array" ref="B58">IF(SUM('Entrada Prod (semanal)'!C$3:C$108)&gt;0,$Q$7-SUM('Entrada Prod (semanal)'!C$3:C50),IF(SUM('Entrada Prod (semanal)'!$D$3:D155)&gt;0,$Q$7-SUM('Entrada Prod (semanal)'!$D$3:D50)/100*$Q$7,$Q$7))</f>
        <v>0</v>
      </c>
      <c r="C58" s="36">
        <f>IF((Info!$J$5&gt;0),B58/$Q$7*100, )</f>
        <v>0</v>
      </c>
      <c r="D58" s="51">
        <v>95.699999999999633</v>
      </c>
      <c r="E58" s="85">
        <f t="array" ref="E58">IF(SUM('Entrada Prod (semanal)'!E$3:E$108)&gt;0,('Entrada Prod (semanal)'!E50)/7/B58*100,IF(SUM('Entrada Prod (semanal)'!$G$3:$G$108)&gt;0,('Entrada Prod (semanal)'!G50), ))</f>
        <v>0</v>
      </c>
      <c r="F58" s="385">
        <v>85.182863113897923</v>
      </c>
      <c r="G58" s="181">
        <f t="array" ref="G58">IF(SUM('Entrada Prod (semanal)'!F$3:F$108)&gt;0,('Entrada Prod (semanal)'!F50)/7/B58*100,IF(SUM('Entrada Prod (semanal)'!$H$3:$H$108)&gt;0,('Entrada Prod (semanal)'!H50), ))</f>
        <v>0</v>
      </c>
      <c r="H58" s="61">
        <f t="shared" si="21"/>
        <v>0</v>
      </c>
      <c r="I58" s="145">
        <f t="shared" si="20"/>
        <v>265.23559999999998</v>
      </c>
      <c r="J58" s="169">
        <f t="shared" si="20"/>
        <v>0</v>
      </c>
      <c r="K58" s="61">
        <f>IF(ISNUMBER('Entrada Prod (semanal)'!I50),'Entrada Prod (semanal)'!I50,K57)</f>
        <v>0</v>
      </c>
      <c r="L58" s="43">
        <v>67.349999999999881</v>
      </c>
      <c r="M58" s="36">
        <f>IF(H58&lt;&gt;0,SUMPRODUCT(($K$11:K58)*($X$11:X58)/H58),0)</f>
        <v>0</v>
      </c>
      <c r="N58" s="60">
        <f>IF(I58&lt;&gt;0,SUMPRODUCT(($L$11:L58)*($Y$11:Y58)/I58),0)</f>
        <v>63.0447255006492</v>
      </c>
      <c r="O58" s="61">
        <f t="shared" si="1"/>
        <v>0</v>
      </c>
      <c r="P58" s="109">
        <f t="shared" si="2"/>
        <v>57.370658307210149</v>
      </c>
      <c r="Q58" s="102">
        <f t="shared" si="9"/>
        <v>0</v>
      </c>
      <c r="R58" s="103">
        <f t="shared" si="10"/>
        <v>16.721705594999985</v>
      </c>
      <c r="S58" s="85">
        <f t="shared" si="3"/>
        <v>0</v>
      </c>
      <c r="T58" s="136">
        <f t="shared" si="4"/>
        <v>81.52</v>
      </c>
      <c r="U58" s="169">
        <f t="shared" si="5"/>
        <v>0</v>
      </c>
      <c r="V58" s="352">
        <f t="shared" si="17"/>
        <v>79.220062695925066</v>
      </c>
      <c r="W58" s="352">
        <f t="shared" si="18"/>
        <v>8.5182863113898009</v>
      </c>
      <c r="X58" s="357">
        <f t="shared" si="22"/>
        <v>0</v>
      </c>
      <c r="Y58" s="357">
        <f t="shared" si="12"/>
        <v>5.7063999999999737</v>
      </c>
      <c r="Z58" s="357" t="str">
        <f t="shared" si="6"/>
        <v/>
      </c>
      <c r="AA58" s="357" t="str">
        <f t="shared" si="7"/>
        <v/>
      </c>
      <c r="AB58" s="350">
        <f t="shared" si="16"/>
        <v>0</v>
      </c>
      <c r="AC58" s="350">
        <f t="shared" si="23"/>
        <v>100</v>
      </c>
      <c r="AD58" s="350">
        <f t="shared" si="24"/>
        <v>0</v>
      </c>
      <c r="AE58" s="357">
        <f t="shared" si="25"/>
        <v>0</v>
      </c>
    </row>
    <row r="59" spans="1:31" x14ac:dyDescent="0.25">
      <c r="A59" s="270">
        <v>63</v>
      </c>
      <c r="B59" s="48">
        <f t="array" ref="B59">IF(SUM('Entrada Prod (semanal)'!C$3:C$108)&gt;0,$Q$7-SUM('Entrada Prod (semanal)'!C$3:C51),IF(SUM('Entrada Prod (semanal)'!$D$3:D156)&gt;0,$Q$7-SUM('Entrada Prod (semanal)'!$D$3:D51)/100*$Q$7,$Q$7))</f>
        <v>0</v>
      </c>
      <c r="C59" s="36">
        <f>IF((Info!$J$5&gt;0),B59/$Q$7*100, )</f>
        <v>0</v>
      </c>
      <c r="D59" s="51">
        <v>95.599999999999625</v>
      </c>
      <c r="E59" s="85">
        <f t="array" ref="E59">IF(SUM('Entrada Prod (semanal)'!E$3:E$108)&gt;0,('Entrada Prod (semanal)'!E51)/7/B59*100,IF(SUM('Entrada Prod (semanal)'!$G$3:$G$108)&gt;0,('Entrada Prod (semanal)'!G51), ))</f>
        <v>0</v>
      </c>
      <c r="F59" s="385">
        <v>84.644351464435488</v>
      </c>
      <c r="G59" s="181">
        <f t="array" ref="G59">IF(SUM('Entrada Prod (semanal)'!F$3:F$108)&gt;0,('Entrada Prod (semanal)'!F51)/7/B59*100,IF(SUM('Entrada Prod (semanal)'!$H$3:$H$108)&gt;0,('Entrada Prod (semanal)'!H51), ))</f>
        <v>0</v>
      </c>
      <c r="H59" s="61">
        <f t="shared" si="21"/>
        <v>0</v>
      </c>
      <c r="I59" s="145">
        <f t="shared" si="20"/>
        <v>270.89999999999998</v>
      </c>
      <c r="J59" s="169">
        <f t="shared" si="20"/>
        <v>0</v>
      </c>
      <c r="K59" s="61">
        <f>IF(ISNUMBER('Entrada Prod (semanal)'!I51),'Entrada Prod (semanal)'!I51,K58)</f>
        <v>0</v>
      </c>
      <c r="L59" s="43">
        <v>67.449999999999875</v>
      </c>
      <c r="M59" s="36">
        <f>IF(H59&lt;&gt;0,SUMPRODUCT(($K$11:K59)*($X$11:X59)/H59),0)</f>
        <v>0</v>
      </c>
      <c r="N59" s="60">
        <f>IF(I59&lt;&gt;0,SUMPRODUCT(($L$11:L59)*($Y$11:Y59)/I59),0)</f>
        <v>63.136837855297109</v>
      </c>
      <c r="O59" s="61">
        <f t="shared" si="1"/>
        <v>0</v>
      </c>
      <c r="P59" s="109">
        <f t="shared" si="2"/>
        <v>57.092615062761631</v>
      </c>
      <c r="Q59" s="102">
        <f t="shared" si="9"/>
        <v>0</v>
      </c>
      <c r="R59" s="103">
        <f t="shared" si="10"/>
        <v>17.103769374999985</v>
      </c>
      <c r="S59" s="85">
        <f t="shared" si="3"/>
        <v>0</v>
      </c>
      <c r="T59" s="136">
        <f t="shared" si="4"/>
        <v>80.920000000000016</v>
      </c>
      <c r="U59" s="169">
        <f t="shared" si="5"/>
        <v>0</v>
      </c>
      <c r="V59" s="352">
        <f t="shared" si="17"/>
        <v>78.719246861925001</v>
      </c>
      <c r="W59" s="352">
        <f t="shared" si="18"/>
        <v>8.4644351464435488</v>
      </c>
      <c r="X59" s="357">
        <f t="shared" si="22"/>
        <v>0</v>
      </c>
      <c r="Y59" s="357">
        <f t="shared" si="12"/>
        <v>5.6644000000000005</v>
      </c>
      <c r="Z59" s="357" t="str">
        <f t="shared" si="6"/>
        <v/>
      </c>
      <c r="AA59" s="357" t="str">
        <f t="shared" si="7"/>
        <v/>
      </c>
      <c r="AB59" s="350">
        <f t="shared" si="16"/>
        <v>0</v>
      </c>
      <c r="AC59" s="350">
        <f t="shared" si="23"/>
        <v>100</v>
      </c>
      <c r="AD59" s="350">
        <f t="shared" si="24"/>
        <v>0</v>
      </c>
      <c r="AE59" s="357">
        <f t="shared" si="25"/>
        <v>0</v>
      </c>
    </row>
    <row r="60" spans="1:31" x14ac:dyDescent="0.25">
      <c r="A60" s="271">
        <v>64</v>
      </c>
      <c r="B60" s="49">
        <f t="array" ref="B60">IF(SUM('Entrada Prod (semanal)'!C$3:C$108)&gt;0,$Q$7-SUM('Entrada Prod (semanal)'!C$3:C52),IF(SUM('Entrada Prod (semanal)'!$D$3:D157)&gt;0,$Q$7-SUM('Entrada Prod (semanal)'!$D$3:D52)/100*$Q$7,$Q$7))</f>
        <v>0</v>
      </c>
      <c r="C60" s="37">
        <f>IF((Info!$J$5&gt;0),B60/$Q$7*100, )</f>
        <v>0</v>
      </c>
      <c r="D60" s="54">
        <v>95.499999999999602</v>
      </c>
      <c r="E60" s="86">
        <f t="array" ref="E60">IF(SUM('Entrada Prod (semanal)'!E$3:E$108)&gt;0,('Entrada Prod (semanal)'!E52)/7/B60*100,IF(SUM('Entrada Prod (semanal)'!$G$3:$G$108)&gt;0,('Entrada Prod (semanal)'!G52), ))</f>
        <v>0</v>
      </c>
      <c r="F60" s="187">
        <v>84.104712041885165</v>
      </c>
      <c r="G60" s="182">
        <f t="array" ref="G60">IF(SUM('Entrada Prod (semanal)'!F$3:F$108)&gt;0,('Entrada Prod (semanal)'!F52)/7/B60*100,IF(SUM('Entrada Prod (semanal)'!$H$3:$H$108)&gt;0,('Entrada Prod (semanal)'!H52), ))</f>
        <v>0</v>
      </c>
      <c r="H60" s="62">
        <f t="shared" si="21"/>
        <v>0</v>
      </c>
      <c r="I60" s="146">
        <f t="shared" si="20"/>
        <v>276.5224</v>
      </c>
      <c r="J60" s="170">
        <f t="shared" si="20"/>
        <v>0</v>
      </c>
      <c r="K60" s="62">
        <f>IF(ISNUMBER('Entrada Prod (semanal)'!I52),'Entrada Prod (semanal)'!I52,K59)</f>
        <v>0</v>
      </c>
      <c r="L60" s="44">
        <v>67.549999999999869</v>
      </c>
      <c r="M60" s="37">
        <f>IF(H60&lt;&gt;0,SUMPRODUCT(($K$11:K60)*($X$11:X60)/H60),0)</f>
        <v>0</v>
      </c>
      <c r="N60" s="63">
        <f>IF(I60&lt;&gt;0,SUMPRODUCT(($L$11:L60)*($Y$11:Y60)/I60),0)</f>
        <v>63.226568607100155</v>
      </c>
      <c r="O60" s="62">
        <f t="shared" si="1"/>
        <v>0</v>
      </c>
      <c r="P60" s="113">
        <f t="shared" si="2"/>
        <v>56.812732984293319</v>
      </c>
      <c r="Q60" s="104">
        <f t="shared" si="9"/>
        <v>0</v>
      </c>
      <c r="R60" s="105">
        <f t="shared" si="10"/>
        <v>17.483562494999983</v>
      </c>
      <c r="S60" s="86">
        <f t="shared" si="3"/>
        <v>0</v>
      </c>
      <c r="T60" s="141">
        <f t="shared" si="4"/>
        <v>80.319999999999993</v>
      </c>
      <c r="U60" s="170">
        <f t="shared" si="5"/>
        <v>0</v>
      </c>
      <c r="V60" s="352">
        <f t="shared" si="17"/>
        <v>78.217382198953203</v>
      </c>
      <c r="W60" s="352">
        <f t="shared" si="18"/>
        <v>8.4104712041885108</v>
      </c>
      <c r="X60" s="357">
        <f t="shared" si="22"/>
        <v>0</v>
      </c>
      <c r="Y60" s="357">
        <f t="shared" si="12"/>
        <v>5.6224000000000274</v>
      </c>
      <c r="Z60" s="357" t="str">
        <f t="shared" si="6"/>
        <v/>
      </c>
      <c r="AA60" s="357" t="str">
        <f t="shared" si="7"/>
        <v/>
      </c>
      <c r="AB60" s="350">
        <f t="shared" si="16"/>
        <v>0</v>
      </c>
      <c r="AC60" s="350">
        <f t="shared" si="23"/>
        <v>100</v>
      </c>
      <c r="AD60" s="350">
        <f t="shared" si="24"/>
        <v>0</v>
      </c>
      <c r="AE60" s="357">
        <f t="shared" si="25"/>
        <v>0</v>
      </c>
    </row>
    <row r="61" spans="1:31" x14ac:dyDescent="0.25">
      <c r="A61" s="270">
        <v>65</v>
      </c>
      <c r="B61" s="48">
        <f t="array" ref="B61">IF(SUM('Entrada Prod (semanal)'!C$3:C$108)&gt;0,$Q$7-SUM('Entrada Prod (semanal)'!C$3:C53),IF(SUM('Entrada Prod (semanal)'!$D$3:D158)&gt;0,$Q$7-SUM('Entrada Prod (semanal)'!$D$3:D53)/100*$Q$7,$Q$7))</f>
        <v>0</v>
      </c>
      <c r="C61" s="36">
        <f>IF((Info!$J$5&gt;0),B61/$Q$7*100, )</f>
        <v>0</v>
      </c>
      <c r="D61" s="51">
        <v>95.399999999999579</v>
      </c>
      <c r="E61" s="85">
        <f t="array" ref="E61">IF(SUM('Entrada Prod (semanal)'!E$3:E$108)&gt;0,('Entrada Prod (semanal)'!E53)/7/B61*100,IF(SUM('Entrada Prod (semanal)'!$G$3:$G$108)&gt;0,('Entrada Prod (semanal)'!G53), ))</f>
        <v>0</v>
      </c>
      <c r="F61" s="184">
        <v>83.563941299790727</v>
      </c>
      <c r="G61" s="181">
        <f t="array" ref="G61">IF(SUM('Entrada Prod (semanal)'!F$3:F$108)&gt;0,('Entrada Prod (semanal)'!F53)/7/B61*100,IF(SUM('Entrada Prod (semanal)'!$H$3:$H$108)&gt;0,('Entrada Prod (semanal)'!H53), ))</f>
        <v>0</v>
      </c>
      <c r="H61" s="61">
        <f t="shared" ref="H61:H76" si="26">7*S61/100+H60</f>
        <v>0</v>
      </c>
      <c r="I61" s="145">
        <f t="shared" si="20"/>
        <v>282.1028</v>
      </c>
      <c r="J61" s="169">
        <f t="shared" si="20"/>
        <v>0</v>
      </c>
      <c r="K61" s="61">
        <f>IF(ISNUMBER('Entrada Prod (semanal)'!I53),'Entrada Prod (semanal)'!I53,K60)</f>
        <v>0</v>
      </c>
      <c r="L61" s="43">
        <v>67.649999999999864</v>
      </c>
      <c r="M61" s="36">
        <f>IF(H61&lt;&gt;0,SUMPRODUCT(($K$11:K61)*($X$11:X61)/H61),0)</f>
        <v>0</v>
      </c>
      <c r="N61" s="60">
        <f>IF(I61&lt;&gt;0,SUMPRODUCT(($L$11:L61)*($Y$11:Y61)/I61),0)</f>
        <v>63.314070455876326</v>
      </c>
      <c r="O61" s="61">
        <f t="shared" si="1"/>
        <v>0</v>
      </c>
      <c r="P61" s="109">
        <f t="shared" si="2"/>
        <v>56.531006289308316</v>
      </c>
      <c r="Q61" s="102">
        <f t="shared" si="9"/>
        <v>0</v>
      </c>
      <c r="R61" s="103">
        <f t="shared" si="10"/>
        <v>17.861076554999983</v>
      </c>
      <c r="S61" s="85">
        <f t="shared" si="3"/>
        <v>0</v>
      </c>
      <c r="T61" s="136">
        <f t="shared" si="4"/>
        <v>79.72</v>
      </c>
      <c r="U61" s="169">
        <f t="shared" si="5"/>
        <v>0</v>
      </c>
      <c r="V61" s="352">
        <f t="shared" si="17"/>
        <v>77.714465408805381</v>
      </c>
      <c r="W61" s="352">
        <f t="shared" si="18"/>
        <v>8.3563941299790656</v>
      </c>
      <c r="X61" s="357">
        <f t="shared" si="22"/>
        <v>0</v>
      </c>
      <c r="Y61" s="357">
        <f t="shared" si="12"/>
        <v>5.5803999999999974</v>
      </c>
      <c r="Z61" s="357" t="str">
        <f t="shared" si="6"/>
        <v/>
      </c>
      <c r="AA61" s="357" t="str">
        <f t="shared" si="7"/>
        <v/>
      </c>
      <c r="AB61" s="350">
        <f t="shared" si="16"/>
        <v>0</v>
      </c>
      <c r="AC61" s="350">
        <f t="shared" si="23"/>
        <v>100</v>
      </c>
      <c r="AD61" s="350">
        <f t="shared" si="24"/>
        <v>0</v>
      </c>
      <c r="AE61" s="357">
        <f t="shared" si="25"/>
        <v>0</v>
      </c>
    </row>
    <row r="62" spans="1:31" x14ac:dyDescent="0.25">
      <c r="A62" s="270">
        <v>66</v>
      </c>
      <c r="B62" s="48">
        <f t="array" ref="B62">IF(SUM('Entrada Prod (semanal)'!C$3:C$108)&gt;0,$Q$7-SUM('Entrada Prod (semanal)'!C$3:C54),IF(SUM('Entrada Prod (semanal)'!$D$3:D159)&gt;0,$Q$7-SUM('Entrada Prod (semanal)'!$D$3:D54)/100*$Q$7,$Q$7))</f>
        <v>0</v>
      </c>
      <c r="C62" s="36">
        <f>IF((Info!$J$5&gt;0),B62/$Q$7*100, )</f>
        <v>0</v>
      </c>
      <c r="D62" s="51">
        <v>95.299999999999571</v>
      </c>
      <c r="E62" s="85">
        <f t="array" ref="E62">IF(SUM('Entrada Prod (semanal)'!E$3:E$108)&gt;0,('Entrada Prod (semanal)'!E54)/7/B62*100,IF(SUM('Entrada Prod (semanal)'!$G$3:$G$108)&gt;0,('Entrada Prod (semanal)'!G54), ))</f>
        <v>0</v>
      </c>
      <c r="F62" s="184">
        <v>83.022035676810447</v>
      </c>
      <c r="G62" s="181">
        <f t="array" ref="G62">IF(SUM('Entrada Prod (semanal)'!F$3:F$108)&gt;0,('Entrada Prod (semanal)'!F54)/7/B62*100,IF(SUM('Entrada Prod (semanal)'!$H$3:$H$108)&gt;0,('Entrada Prod (semanal)'!H54), ))</f>
        <v>0</v>
      </c>
      <c r="H62" s="61">
        <f t="shared" si="26"/>
        <v>0</v>
      </c>
      <c r="I62" s="145">
        <f t="shared" si="20"/>
        <v>287.64120000000003</v>
      </c>
      <c r="J62" s="169">
        <f t="shared" si="20"/>
        <v>0</v>
      </c>
      <c r="K62" s="61">
        <f>IF(ISNUMBER('Entrada Prod (semanal)'!I54),'Entrada Prod (semanal)'!I54,K61)</f>
        <v>0</v>
      </c>
      <c r="L62" s="43">
        <v>67.749999999999858</v>
      </c>
      <c r="M62" s="36">
        <f>IF(H62&lt;&gt;0,SUMPRODUCT(($K$11:K62)*($X$11:X62)/H62),0)</f>
        <v>0</v>
      </c>
      <c r="N62" s="60">
        <f>IF(I62&lt;&gt;0,SUMPRODUCT(($L$11:L62)*($Y$11:Y62)/I62),0)</f>
        <v>63.399482254280642</v>
      </c>
      <c r="O62" s="61">
        <f t="shared" si="1"/>
        <v>0</v>
      </c>
      <c r="P62" s="109">
        <f t="shared" si="2"/>
        <v>56.247429171038959</v>
      </c>
      <c r="Q62" s="102">
        <f t="shared" si="9"/>
        <v>0</v>
      </c>
      <c r="R62" s="103">
        <f t="shared" si="10"/>
        <v>18.23630315499998</v>
      </c>
      <c r="S62" s="85">
        <f t="shared" si="3"/>
        <v>0</v>
      </c>
      <c r="T62" s="136">
        <f t="shared" si="4"/>
        <v>79.12</v>
      </c>
      <c r="U62" s="169">
        <f t="shared" si="5"/>
        <v>0</v>
      </c>
      <c r="V62" s="352">
        <f t="shared" si="17"/>
        <v>77.210493179433712</v>
      </c>
      <c r="W62" s="352">
        <f t="shared" si="18"/>
        <v>8.3022035676810475</v>
      </c>
      <c r="X62" s="357">
        <f t="shared" si="22"/>
        <v>0</v>
      </c>
      <c r="Y62" s="357">
        <f t="shared" si="12"/>
        <v>5.5384000000000242</v>
      </c>
      <c r="Z62" s="357" t="str">
        <f t="shared" si="6"/>
        <v/>
      </c>
      <c r="AA62" s="357" t="str">
        <f t="shared" si="7"/>
        <v/>
      </c>
      <c r="AB62" s="350">
        <f t="shared" si="16"/>
        <v>0</v>
      </c>
      <c r="AC62" s="350">
        <f t="shared" si="23"/>
        <v>100</v>
      </c>
      <c r="AD62" s="350">
        <f t="shared" si="24"/>
        <v>0</v>
      </c>
      <c r="AE62" s="357">
        <f t="shared" si="25"/>
        <v>0</v>
      </c>
    </row>
    <row r="63" spans="1:31" x14ac:dyDescent="0.25">
      <c r="A63" s="270">
        <v>67</v>
      </c>
      <c r="B63" s="48">
        <f t="array" ref="B63">IF(SUM('Entrada Prod (semanal)'!C$3:C$108)&gt;0,$Q$7-SUM('Entrada Prod (semanal)'!C$3:C55),IF(SUM('Entrada Prod (semanal)'!$D$3:D160)&gt;0,$Q$7-SUM('Entrada Prod (semanal)'!$D$3:D55)/100*$Q$7,$Q$7))</f>
        <v>0</v>
      </c>
      <c r="C63" s="36">
        <f>IF((Info!$J$5&gt;0),B63/$Q$7*100, )</f>
        <v>0</v>
      </c>
      <c r="D63" s="51">
        <v>95.199999999999633</v>
      </c>
      <c r="E63" s="85">
        <f t="array" ref="E63">IF(SUM('Entrada Prod (semanal)'!E$3:E$108)&gt;0,('Entrada Prod (semanal)'!E55)/7/B63*100,IF(SUM('Entrada Prod (semanal)'!$G$3:$G$108)&gt;0,('Entrada Prod (semanal)'!G55), ))</f>
        <v>0</v>
      </c>
      <c r="F63" s="184">
        <v>82.478991596639034</v>
      </c>
      <c r="G63" s="181">
        <f t="array" ref="G63">IF(SUM('Entrada Prod (semanal)'!F$3:F$108)&gt;0,('Entrada Prod (semanal)'!F55)/7/B63*100,IF(SUM('Entrada Prod (semanal)'!$H$3:$H$108)&gt;0,('Entrada Prod (semanal)'!H55), ))</f>
        <v>0</v>
      </c>
      <c r="H63" s="61">
        <f t="shared" si="26"/>
        <v>0</v>
      </c>
      <c r="I63" s="145">
        <f t="shared" si="20"/>
        <v>293.13760000000002</v>
      </c>
      <c r="J63" s="169">
        <f t="shared" si="20"/>
        <v>0</v>
      </c>
      <c r="K63" s="61">
        <f>IF(ISNUMBER('Entrada Prod (semanal)'!I55),'Entrada Prod (semanal)'!I55,K62)</f>
        <v>0</v>
      </c>
      <c r="L63" s="43">
        <v>67.849999999999852</v>
      </c>
      <c r="M63" s="36">
        <f>IF(H63&lt;&gt;0,SUMPRODUCT(($K$11:K63)*($X$11:X63)/H63),0)</f>
        <v>0</v>
      </c>
      <c r="N63" s="60">
        <f>IF(I63&lt;&gt;0,SUMPRODUCT(($L$11:L63)*($Y$11:Y63)/I63),0)</f>
        <v>63.482930524777395</v>
      </c>
      <c r="O63" s="61">
        <f t="shared" si="1"/>
        <v>0</v>
      </c>
      <c r="P63" s="109">
        <f t="shared" si="2"/>
        <v>55.961995798319457</v>
      </c>
      <c r="Q63" s="102">
        <f t="shared" si="9"/>
        <v>0</v>
      </c>
      <c r="R63" s="103">
        <f t="shared" si="10"/>
        <v>18.609233894999981</v>
      </c>
      <c r="S63" s="85">
        <f t="shared" si="3"/>
        <v>0</v>
      </c>
      <c r="T63" s="136">
        <f t="shared" si="4"/>
        <v>78.520000000000053</v>
      </c>
      <c r="U63" s="169">
        <f t="shared" si="5"/>
        <v>0</v>
      </c>
      <c r="V63" s="352">
        <f t="shared" si="17"/>
        <v>76.705462184874307</v>
      </c>
      <c r="W63" s="352">
        <f t="shared" si="18"/>
        <v>8.247899159663902</v>
      </c>
      <c r="X63" s="357">
        <f t="shared" si="22"/>
        <v>0</v>
      </c>
      <c r="Y63" s="357">
        <f t="shared" si="12"/>
        <v>5.4963999999999942</v>
      </c>
      <c r="Z63" s="357" t="str">
        <f t="shared" si="6"/>
        <v/>
      </c>
      <c r="AA63" s="357" t="str">
        <f t="shared" si="7"/>
        <v/>
      </c>
      <c r="AB63" s="350">
        <f t="shared" si="16"/>
        <v>0</v>
      </c>
      <c r="AC63" s="350">
        <f t="shared" si="23"/>
        <v>100</v>
      </c>
      <c r="AD63" s="350">
        <f t="shared" si="24"/>
        <v>0</v>
      </c>
      <c r="AE63" s="357">
        <f t="shared" si="25"/>
        <v>0</v>
      </c>
    </row>
    <row r="64" spans="1:31" x14ac:dyDescent="0.25">
      <c r="A64" s="271">
        <v>68</v>
      </c>
      <c r="B64" s="49">
        <f t="array" ref="B64">IF(SUM('Entrada Prod (semanal)'!C$3:C$108)&gt;0,$Q$7-SUM('Entrada Prod (semanal)'!C$3:C56),IF(SUM('Entrada Prod (semanal)'!$D$3:D161)&gt;0,$Q$7-SUM('Entrada Prod (semanal)'!$D$3:D56)/100*$Q$7,$Q$7))</f>
        <v>0</v>
      </c>
      <c r="C64" s="37">
        <f>IF((Info!$J$5&gt;0),B64/$Q$7*100, )</f>
        <v>0</v>
      </c>
      <c r="D64" s="54">
        <v>95.099999999999611</v>
      </c>
      <c r="E64" s="86">
        <f t="array" ref="E64">IF(SUM('Entrada Prod (semanal)'!E$3:E$108)&gt;0,('Entrada Prod (semanal)'!E56)/7/B64*100,IF(SUM('Entrada Prod (semanal)'!$G$3:$G$108)&gt;0,('Entrada Prod (semanal)'!G56), ))</f>
        <v>0</v>
      </c>
      <c r="F64" s="187">
        <v>81.934805467928896</v>
      </c>
      <c r="G64" s="182">
        <f t="array" ref="G64">IF(SUM('Entrada Prod (semanal)'!F$3:F$108)&gt;0,('Entrada Prod (semanal)'!F56)/7/B64*100,IF(SUM('Entrada Prod (semanal)'!$H$3:$H$108)&gt;0,('Entrada Prod (semanal)'!H56), ))</f>
        <v>0</v>
      </c>
      <c r="H64" s="62">
        <f t="shared" si="26"/>
        <v>0</v>
      </c>
      <c r="I64" s="146">
        <f t="shared" si="20"/>
        <v>298.59200000000004</v>
      </c>
      <c r="J64" s="170">
        <f t="shared" si="20"/>
        <v>0</v>
      </c>
      <c r="K64" s="62">
        <f>IF(ISNUMBER('Entrada Prod (semanal)'!I56),'Entrada Prod (semanal)'!I56,K63)</f>
        <v>0</v>
      </c>
      <c r="L64" s="44">
        <v>67.949999999999847</v>
      </c>
      <c r="M64" s="37">
        <f>IF(H64&lt;&gt;0,SUMPRODUCT(($K$11:K64)*($X$11:X64)/H64),0)</f>
        <v>0</v>
      </c>
      <c r="N64" s="63">
        <f>IF(I64&lt;&gt;0,SUMPRODUCT(($L$11:L64)*($Y$11:Y64)/I64),0)</f>
        <v>63.56453078113271</v>
      </c>
      <c r="O64" s="62">
        <f t="shared" si="1"/>
        <v>0</v>
      </c>
      <c r="P64" s="113">
        <f t="shared" si="2"/>
        <v>55.674700315457557</v>
      </c>
      <c r="Q64" s="104">
        <f t="shared" si="9"/>
        <v>0</v>
      </c>
      <c r="R64" s="105">
        <f t="shared" si="10"/>
        <v>18.97986037499998</v>
      </c>
      <c r="S64" s="86">
        <f t="shared" si="3"/>
        <v>0</v>
      </c>
      <c r="T64" s="141">
        <f t="shared" si="4"/>
        <v>77.920000000000059</v>
      </c>
      <c r="U64" s="170">
        <f t="shared" si="5"/>
        <v>0</v>
      </c>
      <c r="V64" s="352">
        <f t="shared" si="17"/>
        <v>76.199369085173871</v>
      </c>
      <c r="W64" s="352">
        <f t="shared" si="18"/>
        <v>8.1934805467928982</v>
      </c>
      <c r="X64" s="357">
        <f t="shared" si="22"/>
        <v>0</v>
      </c>
      <c r="Y64" s="357">
        <f t="shared" si="12"/>
        <v>5.454400000000021</v>
      </c>
      <c r="Z64" s="357" t="str">
        <f t="shared" si="6"/>
        <v/>
      </c>
      <c r="AA64" s="357" t="str">
        <f t="shared" si="7"/>
        <v/>
      </c>
      <c r="AB64" s="350">
        <f t="shared" si="16"/>
        <v>0</v>
      </c>
      <c r="AC64" s="350">
        <f t="shared" si="23"/>
        <v>100</v>
      </c>
      <c r="AD64" s="350">
        <f t="shared" si="24"/>
        <v>0</v>
      </c>
      <c r="AE64" s="357">
        <f t="shared" si="25"/>
        <v>0</v>
      </c>
    </row>
    <row r="65" spans="1:31" x14ac:dyDescent="0.25">
      <c r="A65" s="270">
        <v>69</v>
      </c>
      <c r="B65" s="48">
        <f t="array" ref="B65">IF(SUM('Entrada Prod (semanal)'!C$3:C$108)&gt;0,$Q$7-SUM('Entrada Prod (semanal)'!C$3:C57),IF(SUM('Entrada Prod (semanal)'!$D$3:D162)&gt;0,$Q$7-SUM('Entrada Prod (semanal)'!$D$3:D57)/100*$Q$7,$Q$7))</f>
        <v>0</v>
      </c>
      <c r="C65" s="36">
        <f>IF((Info!$J$5&gt;0),B65/$Q$7*100, )</f>
        <v>0</v>
      </c>
      <c r="D65" s="51">
        <v>94.999999999999602</v>
      </c>
      <c r="E65" s="85">
        <f t="array" ref="E65">IF(SUM('Entrada Prod (semanal)'!E$3:E$108)&gt;0,('Entrada Prod (semanal)'!E57)/7/B65*100,IF(SUM('Entrada Prod (semanal)'!$G$3:$G$108)&gt;0,('Entrada Prod (semanal)'!G57), ))</f>
        <v>0</v>
      </c>
      <c r="F65" s="184">
        <v>81.389473684210927</v>
      </c>
      <c r="G65" s="181">
        <f t="array" ref="G65">IF(SUM('Entrada Prod (semanal)'!F$3:F$108)&gt;0,('Entrada Prod (semanal)'!F57)/7/B65*100,IF(SUM('Entrada Prod (semanal)'!$H$3:$H$108)&gt;0,('Entrada Prod (semanal)'!H57), ))</f>
        <v>0</v>
      </c>
      <c r="H65" s="61">
        <f t="shared" si="26"/>
        <v>0</v>
      </c>
      <c r="I65" s="145">
        <f t="shared" si="20"/>
        <v>304.00440000000003</v>
      </c>
      <c r="J65" s="169">
        <f t="shared" si="20"/>
        <v>0</v>
      </c>
      <c r="K65" s="61">
        <f>IF(ISNUMBER('Entrada Prod (semanal)'!I57),'Entrada Prod (semanal)'!I57,K64)</f>
        <v>0</v>
      </c>
      <c r="L65" s="43">
        <v>68.049999999999841</v>
      </c>
      <c r="M65" s="36">
        <f>IF(H65&lt;&gt;0,SUMPRODUCT(($K$11:K65)*($X$11:X65)/H65),0)</f>
        <v>0</v>
      </c>
      <c r="N65" s="60">
        <f>IF(I65&lt;&gt;0,SUMPRODUCT(($L$11:L65)*($Y$11:Y65)/I65),0)</f>
        <v>63.64438868319008</v>
      </c>
      <c r="O65" s="61">
        <f t="shared" si="1"/>
        <v>0</v>
      </c>
      <c r="P65" s="109">
        <f t="shared" si="2"/>
        <v>55.385536842105402</v>
      </c>
      <c r="Q65" s="102">
        <f t="shared" si="9"/>
        <v>0</v>
      </c>
      <c r="R65" s="103">
        <f t="shared" si="10"/>
        <v>19.348174194999981</v>
      </c>
      <c r="S65" s="85">
        <f t="shared" si="3"/>
        <v>0</v>
      </c>
      <c r="T65" s="136">
        <f t="shared" si="4"/>
        <v>77.32000000000005</v>
      </c>
      <c r="U65" s="169">
        <f t="shared" si="5"/>
        <v>0</v>
      </c>
      <c r="V65" s="352">
        <f t="shared" si="17"/>
        <v>75.69221052631616</v>
      </c>
      <c r="W65" s="352">
        <f t="shared" si="18"/>
        <v>8.1389473684210998</v>
      </c>
      <c r="X65" s="357">
        <f t="shared" si="22"/>
        <v>0</v>
      </c>
      <c r="Y65" s="357">
        <f t="shared" si="12"/>
        <v>5.412399999999991</v>
      </c>
      <c r="Z65" s="357" t="str">
        <f t="shared" si="6"/>
        <v/>
      </c>
      <c r="AA65" s="357" t="str">
        <f t="shared" si="7"/>
        <v/>
      </c>
      <c r="AB65" s="350">
        <f t="shared" si="16"/>
        <v>0</v>
      </c>
      <c r="AC65" s="350">
        <f t="shared" si="23"/>
        <v>100</v>
      </c>
      <c r="AD65" s="350">
        <f t="shared" si="24"/>
        <v>0</v>
      </c>
      <c r="AE65" s="357">
        <f t="shared" si="25"/>
        <v>0</v>
      </c>
    </row>
    <row r="66" spans="1:31" x14ac:dyDescent="0.25">
      <c r="A66" s="270">
        <v>70</v>
      </c>
      <c r="B66" s="48">
        <f t="array" ref="B66">IF(SUM('Entrada Prod (semanal)'!C$3:C$108)&gt;0,$Q$7-SUM('Entrada Prod (semanal)'!C$3:C58),IF(SUM('Entrada Prod (semanal)'!$D$3:D163)&gt;0,$Q$7-SUM('Entrada Prod (semanal)'!$D$3:D58)/100*$Q$7,$Q$7))</f>
        <v>0</v>
      </c>
      <c r="C66" s="36">
        <f>IF((Info!$J$5&gt;0),B66/$Q$7*100, )</f>
        <v>0</v>
      </c>
      <c r="D66" s="51">
        <v>94.899999999999608</v>
      </c>
      <c r="E66" s="85">
        <f t="array" ref="E66">IF(SUM('Entrada Prod (semanal)'!E$3:E$108)&gt;0,('Entrada Prod (semanal)'!E58)/7/B66*100,IF(SUM('Entrada Prod (semanal)'!$G$3:$G$108)&gt;0,('Entrada Prod (semanal)'!G58), ))</f>
        <v>0</v>
      </c>
      <c r="F66" s="184">
        <v>80.842992623814951</v>
      </c>
      <c r="G66" s="181">
        <f t="array" ref="G66">IF(SUM('Entrada Prod (semanal)'!F$3:F$108)&gt;0,('Entrada Prod (semanal)'!F58)/7/B66*100,IF(SUM('Entrada Prod (semanal)'!$H$3:$H$108)&gt;0,('Entrada Prod (semanal)'!H58), ))</f>
        <v>0</v>
      </c>
      <c r="H66" s="61">
        <f t="shared" si="26"/>
        <v>0</v>
      </c>
      <c r="I66" s="145">
        <f t="shared" si="20"/>
        <v>309.37480000000005</v>
      </c>
      <c r="J66" s="169">
        <f t="shared" si="20"/>
        <v>0</v>
      </c>
      <c r="K66" s="61">
        <f>IF(ISNUMBER('Entrada Prod (semanal)'!I58),'Entrada Prod (semanal)'!I58,K65)</f>
        <v>0</v>
      </c>
      <c r="L66" s="43">
        <v>68.149999999999835</v>
      </c>
      <c r="M66" s="36">
        <f>IF(H66&lt;&gt;0,SUMPRODUCT(($K$11:K66)*($X$11:X66)/H66),0)</f>
        <v>0</v>
      </c>
      <c r="N66" s="60">
        <f>IF(I66&lt;&gt;0,SUMPRODUCT(($L$11:L66)*($Y$11:Y66)/I66),0)</f>
        <v>63.722601048954161</v>
      </c>
      <c r="O66" s="61">
        <f t="shared" si="1"/>
        <v>0</v>
      </c>
      <c r="P66" s="109">
        <f t="shared" si="2"/>
        <v>55.094499473129751</v>
      </c>
      <c r="Q66" s="102">
        <f t="shared" si="9"/>
        <v>0</v>
      </c>
      <c r="R66" s="103">
        <f t="shared" si="10"/>
        <v>19.714166954999982</v>
      </c>
      <c r="S66" s="85">
        <f t="shared" si="3"/>
        <v>0</v>
      </c>
      <c r="T66" s="136">
        <f t="shared" si="4"/>
        <v>76.72000000000007</v>
      </c>
      <c r="U66" s="169">
        <f t="shared" si="5"/>
        <v>0</v>
      </c>
      <c r="V66" s="352">
        <f t="shared" si="17"/>
        <v>75.183983140147902</v>
      </c>
      <c r="W66" s="352">
        <f t="shared" si="18"/>
        <v>8.0842992623814922</v>
      </c>
      <c r="X66" s="357">
        <f t="shared" si="22"/>
        <v>0</v>
      </c>
      <c r="Y66" s="357">
        <f t="shared" si="12"/>
        <v>5.3704000000000178</v>
      </c>
      <c r="Z66" s="357" t="str">
        <f t="shared" si="6"/>
        <v/>
      </c>
      <c r="AA66" s="357" t="str">
        <f t="shared" si="7"/>
        <v/>
      </c>
      <c r="AB66" s="350">
        <f t="shared" si="16"/>
        <v>0</v>
      </c>
      <c r="AC66" s="350">
        <f t="shared" si="23"/>
        <v>100</v>
      </c>
      <c r="AD66" s="350">
        <f t="shared" si="24"/>
        <v>0</v>
      </c>
      <c r="AE66" s="357">
        <f t="shared" si="25"/>
        <v>0</v>
      </c>
    </row>
    <row r="67" spans="1:31" x14ac:dyDescent="0.25">
      <c r="A67" s="270">
        <v>71</v>
      </c>
      <c r="B67" s="48">
        <f t="array" ref="B67">IF(SUM('Entrada Prod (semanal)'!C$3:C$108)&gt;0,$Q$7-SUM('Entrada Prod (semanal)'!C$3:C59),IF(SUM('Entrada Prod (semanal)'!$D$3:D164)&gt;0,$Q$7-SUM('Entrada Prod (semanal)'!$D$3:D59)/100*$Q$7,$Q$7))</f>
        <v>0</v>
      </c>
      <c r="C67" s="36">
        <f>IF((Info!$J$5&gt;0),B67/$Q$7*100, )</f>
        <v>0</v>
      </c>
      <c r="D67" s="51">
        <v>94.799999999999585</v>
      </c>
      <c r="E67" s="85">
        <f t="array" ref="E67">IF(SUM('Entrada Prod (semanal)'!E$3:E$108)&gt;0,('Entrada Prod (semanal)'!E59)/7/B67*100,IF(SUM('Entrada Prod (semanal)'!$G$3:$G$108)&gt;0,('Entrada Prod (semanal)'!G59), ))</f>
        <v>0</v>
      </c>
      <c r="F67" s="184">
        <v>80.295358649789463</v>
      </c>
      <c r="G67" s="181">
        <f t="array" ref="G67">IF(SUM('Entrada Prod (semanal)'!F$3:F$108)&gt;0,('Entrada Prod (semanal)'!F59)/7/B67*100,IF(SUM('Entrada Prod (semanal)'!$H$3:$H$108)&gt;0,('Entrada Prod (semanal)'!H59), ))</f>
        <v>0</v>
      </c>
      <c r="H67" s="61">
        <f t="shared" si="26"/>
        <v>0</v>
      </c>
      <c r="I67" s="145">
        <f t="shared" si="20"/>
        <v>314.70320000000004</v>
      </c>
      <c r="J67" s="169">
        <f t="shared" si="20"/>
        <v>0</v>
      </c>
      <c r="K67" s="61">
        <f>IF(ISNUMBER('Entrada Prod (semanal)'!I59),'Entrada Prod (semanal)'!I59,K66)</f>
        <v>0</v>
      </c>
      <c r="L67" s="43">
        <v>68.249999999999829</v>
      </c>
      <c r="M67" s="36">
        <f>IF(H67&lt;&gt;0,SUMPRODUCT(($K$11:K67)*($X$11:X67)/H67),0)</f>
        <v>0</v>
      </c>
      <c r="N67" s="60">
        <f>IF(I67&lt;&gt;0,SUMPRODUCT(($L$11:L67)*($Y$11:Y67)/I67),0)</f>
        <v>63.799256744132187</v>
      </c>
      <c r="O67" s="61">
        <f t="shared" si="1"/>
        <v>0</v>
      </c>
      <c r="P67" s="109">
        <f t="shared" si="2"/>
        <v>54.80158227848117</v>
      </c>
      <c r="Q67" s="102">
        <f t="shared" si="9"/>
        <v>0</v>
      </c>
      <c r="R67" s="103">
        <f t="shared" si="10"/>
        <v>20.077830254999981</v>
      </c>
      <c r="S67" s="85">
        <f t="shared" si="3"/>
        <v>0</v>
      </c>
      <c r="T67" s="136">
        <f t="shared" si="4"/>
        <v>76.120000000000076</v>
      </c>
      <c r="U67" s="169">
        <f t="shared" si="5"/>
        <v>0</v>
      </c>
      <c r="V67" s="352">
        <f t="shared" si="17"/>
        <v>74.674683544304202</v>
      </c>
      <c r="W67" s="352">
        <f t="shared" si="18"/>
        <v>8.0295358649789392</v>
      </c>
      <c r="X67" s="357">
        <f t="shared" si="22"/>
        <v>0</v>
      </c>
      <c r="Y67" s="357">
        <f t="shared" si="12"/>
        <v>5.3283999999999878</v>
      </c>
      <c r="Z67" s="357" t="str">
        <f t="shared" si="6"/>
        <v/>
      </c>
      <c r="AA67" s="357" t="str">
        <f t="shared" si="7"/>
        <v/>
      </c>
      <c r="AB67" s="350">
        <f t="shared" si="16"/>
        <v>0</v>
      </c>
      <c r="AC67" s="350">
        <f t="shared" si="23"/>
        <v>100</v>
      </c>
      <c r="AD67" s="350">
        <f t="shared" si="24"/>
        <v>0</v>
      </c>
      <c r="AE67" s="357">
        <f t="shared" si="25"/>
        <v>0</v>
      </c>
    </row>
    <row r="68" spans="1:31" x14ac:dyDescent="0.25">
      <c r="A68" s="271">
        <v>72</v>
      </c>
      <c r="B68" s="49">
        <f t="array" ref="B68">IF(SUM('Entrada Prod (semanal)'!C$3:C$108)&gt;0,$Q$7-SUM('Entrada Prod (semanal)'!C$3:C60),IF(SUM('Entrada Prod (semanal)'!$D$3:D165)&gt;0,$Q$7-SUM('Entrada Prod (semanal)'!$D$3:D60)/100*$Q$7,$Q$7))</f>
        <v>0</v>
      </c>
      <c r="C68" s="37">
        <f>IF((Info!$J$5&gt;0),B68/$Q$7*100, )</f>
        <v>0</v>
      </c>
      <c r="D68" s="54">
        <v>94.699999999999577</v>
      </c>
      <c r="E68" s="86">
        <f t="array" ref="E68">IF(SUM('Entrada Prod (semanal)'!E$3:E$108)&gt;0,('Entrada Prod (semanal)'!E60)/7/B68*100,IF(SUM('Entrada Prod (semanal)'!$G$3:$G$108)&gt;0,('Entrada Prod (semanal)'!G60), ))</f>
        <v>0</v>
      </c>
      <c r="F68" s="187">
        <v>79.746568109820927</v>
      </c>
      <c r="G68" s="182">
        <f t="array" ref="G68">IF(SUM('Entrada Prod (semanal)'!F$3:F$108)&gt;0,('Entrada Prod (semanal)'!F60)/7/B68*100,IF(SUM('Entrada Prod (semanal)'!$H$3:$H$108)&gt;0,('Entrada Prod (semanal)'!H60), ))</f>
        <v>0</v>
      </c>
      <c r="H68" s="62">
        <f t="shared" si="26"/>
        <v>0</v>
      </c>
      <c r="I68" s="146">
        <f t="shared" si="20"/>
        <v>319.98960000000005</v>
      </c>
      <c r="J68" s="170">
        <f t="shared" si="20"/>
        <v>0</v>
      </c>
      <c r="K68" s="62">
        <f>IF(ISNUMBER('Entrada Prod (semanal)'!I60),'Entrada Prod (semanal)'!I60,K67)</f>
        <v>0</v>
      </c>
      <c r="L68" s="44">
        <v>68.299999999999827</v>
      </c>
      <c r="M68" s="37">
        <f>IF(H68&lt;&gt;0,SUMPRODUCT(($K$11:K68)*($X$11:X68)/H68),0)</f>
        <v>0</v>
      </c>
      <c r="N68" s="63">
        <f>IF(I68&lt;&gt;0,SUMPRODUCT(($L$11:L68)*($Y$11:Y68)/I68),0)</f>
        <v>63.87361143924673</v>
      </c>
      <c r="O68" s="62">
        <f t="shared" si="1"/>
        <v>0</v>
      </c>
      <c r="P68" s="113">
        <f t="shared" si="2"/>
        <v>54.466906019007553</v>
      </c>
      <c r="Q68" s="104">
        <f t="shared" si="9"/>
        <v>0</v>
      </c>
      <c r="R68" s="105">
        <f t="shared" si="10"/>
        <v>20.438891374999979</v>
      </c>
      <c r="S68" s="86">
        <f t="shared" si="3"/>
        <v>0</v>
      </c>
      <c r="T68" s="141">
        <f t="shared" si="4"/>
        <v>75.520000000000081</v>
      </c>
      <c r="U68" s="170">
        <f t="shared" si="5"/>
        <v>0</v>
      </c>
      <c r="V68" s="352">
        <f t="shared" si="17"/>
        <v>74.164308342133467</v>
      </c>
      <c r="W68" s="352">
        <f t="shared" si="18"/>
        <v>7.9746568109820828</v>
      </c>
      <c r="X68" s="357">
        <f t="shared" si="22"/>
        <v>0</v>
      </c>
      <c r="Y68" s="357">
        <f t="shared" si="12"/>
        <v>5.2864000000000146</v>
      </c>
      <c r="Z68" s="357" t="str">
        <f t="shared" si="6"/>
        <v/>
      </c>
      <c r="AA68" s="357" t="str">
        <f t="shared" si="7"/>
        <v/>
      </c>
      <c r="AB68" s="350">
        <f t="shared" si="16"/>
        <v>0</v>
      </c>
      <c r="AC68" s="350">
        <f t="shared" si="23"/>
        <v>100</v>
      </c>
      <c r="AD68" s="350">
        <f t="shared" si="24"/>
        <v>0</v>
      </c>
      <c r="AE68" s="357">
        <f t="shared" si="25"/>
        <v>0</v>
      </c>
    </row>
    <row r="69" spans="1:31" x14ac:dyDescent="0.25">
      <c r="A69" s="270">
        <v>73</v>
      </c>
      <c r="B69" s="48">
        <f t="array" ref="B69">IF(SUM('Entrada Prod (semanal)'!C$3:C$108)&gt;0,$Q$7-SUM('Entrada Prod (semanal)'!C$3:C61),IF(SUM('Entrada Prod (semanal)'!$D$3:D166)&gt;0,$Q$7-SUM('Entrada Prod (semanal)'!$D$3:D61)/100*$Q$7,$Q$7))</f>
        <v>0</v>
      </c>
      <c r="C69" s="36">
        <f>IF((Info!$J$5&gt;0),B69/$Q$7*100, )</f>
        <v>0</v>
      </c>
      <c r="D69" s="51">
        <v>94.599999999999568</v>
      </c>
      <c r="E69" s="85">
        <f t="array" ref="E69">IF(SUM('Entrada Prod (semanal)'!E$3:E$108)&gt;0,('Entrada Prod (semanal)'!E61)/7/B69*100,IF(SUM('Entrada Prod (semanal)'!$G$3:$G$108)&gt;0,('Entrada Prod (semanal)'!G61), ))</f>
        <v>0</v>
      </c>
      <c r="F69" s="184">
        <v>79.19661733615267</v>
      </c>
      <c r="G69" s="181">
        <f t="array" ref="G69">IF(SUM('Entrada Prod (semanal)'!F$3:F$108)&gt;0,('Entrada Prod (semanal)'!F61)/7/B69*100,IF(SUM('Entrada Prod (semanal)'!$H$3:$H$108)&gt;0,('Entrada Prod (semanal)'!H61), ))</f>
        <v>0</v>
      </c>
      <c r="H69" s="61">
        <f t="shared" si="26"/>
        <v>0</v>
      </c>
      <c r="I69" s="145">
        <f t="shared" si="20"/>
        <v>325.23400000000004</v>
      </c>
      <c r="J69" s="169">
        <f t="shared" si="20"/>
        <v>0</v>
      </c>
      <c r="K69" s="61">
        <f>IF(ISNUMBER('Entrada Prod (semanal)'!I61),'Entrada Prod (semanal)'!I61,K68)</f>
        <v>0</v>
      </c>
      <c r="L69" s="43">
        <v>68.349999999999824</v>
      </c>
      <c r="M69" s="36">
        <f>IF(H69&lt;&gt;0,SUMPRODUCT(($K$11:K69)*($X$11:X69)/H69),0)</f>
        <v>0</v>
      </c>
      <c r="N69" s="60">
        <f>IF(I69&lt;&gt;0,SUMPRODUCT(($L$11:L69)*($Y$11:Y69)/I69),0)</f>
        <v>63.945793228875146</v>
      </c>
      <c r="O69" s="61">
        <f t="shared" si="1"/>
        <v>0</v>
      </c>
      <c r="P69" s="109">
        <f t="shared" si="2"/>
        <v>54.130887949260213</v>
      </c>
      <c r="Q69" s="102">
        <f t="shared" si="9"/>
        <v>0</v>
      </c>
      <c r="R69" s="103">
        <f t="shared" si="10"/>
        <v>20.797346114999979</v>
      </c>
      <c r="S69" s="85">
        <f t="shared" si="3"/>
        <v>0</v>
      </c>
      <c r="T69" s="136">
        <f t="shared" si="4"/>
        <v>74.920000000000087</v>
      </c>
      <c r="U69" s="169">
        <f t="shared" si="5"/>
        <v>0</v>
      </c>
      <c r="V69" s="352">
        <f t="shared" si="17"/>
        <v>73.652854122621989</v>
      </c>
      <c r="W69" s="352">
        <f t="shared" si="18"/>
        <v>7.919661733615257</v>
      </c>
      <c r="X69" s="357">
        <f t="shared" si="22"/>
        <v>0</v>
      </c>
      <c r="Y69" s="357">
        <f t="shared" si="12"/>
        <v>5.2443999999999846</v>
      </c>
      <c r="Z69" s="357" t="str">
        <f t="shared" si="6"/>
        <v/>
      </c>
      <c r="AA69" s="357" t="str">
        <f t="shared" si="7"/>
        <v/>
      </c>
      <c r="AB69" s="350">
        <f t="shared" si="16"/>
        <v>0</v>
      </c>
      <c r="AC69" s="350">
        <f t="shared" si="23"/>
        <v>100</v>
      </c>
      <c r="AD69" s="350">
        <f t="shared" si="24"/>
        <v>0</v>
      </c>
      <c r="AE69" s="357">
        <f t="shared" si="25"/>
        <v>0</v>
      </c>
    </row>
    <row r="70" spans="1:31" x14ac:dyDescent="0.25">
      <c r="A70" s="270">
        <v>74</v>
      </c>
      <c r="B70" s="48">
        <f t="array" ref="B70">IF(SUM('Entrada Prod (semanal)'!C$3:C$108)&gt;0,$Q$7-SUM('Entrada Prod (semanal)'!C$3:C62),IF(SUM('Entrada Prod (semanal)'!$D$3:D167)&gt;0,$Q$7-SUM('Entrada Prod (semanal)'!$D$3:D62)/100*$Q$7,$Q$7))</f>
        <v>0</v>
      </c>
      <c r="C70" s="36">
        <f>IF((Info!$J$5&gt;0),B70/$Q$7*100, )</f>
        <v>0</v>
      </c>
      <c r="D70" s="51">
        <v>94.499999999999574</v>
      </c>
      <c r="E70" s="85">
        <f t="array" ref="E70">IF(SUM('Entrada Prod (semanal)'!E$3:E$108)&gt;0,('Entrada Prod (semanal)'!E62)/7/B70*100,IF(SUM('Entrada Prod (semanal)'!$G$3:$G$108)&gt;0,('Entrada Prod (semanal)'!G62), ))</f>
        <v>0</v>
      </c>
      <c r="F70" s="184">
        <v>78.6455026455031</v>
      </c>
      <c r="G70" s="181">
        <f t="array" ref="G70">IF(SUM('Entrada Prod (semanal)'!F$3:F$108)&gt;0,('Entrada Prod (semanal)'!F62)/7/B70*100,IF(SUM('Entrada Prod (semanal)'!$H$3:$H$108)&gt;0,('Entrada Prod (semanal)'!H62), ))</f>
        <v>0</v>
      </c>
      <c r="H70" s="61">
        <f t="shared" si="26"/>
        <v>0</v>
      </c>
      <c r="I70" s="145">
        <f t="shared" si="20"/>
        <v>330.43640000000005</v>
      </c>
      <c r="J70" s="169">
        <f t="shared" si="20"/>
        <v>0</v>
      </c>
      <c r="K70" s="61">
        <f>IF(ISNUMBER('Entrada Prod (semanal)'!I62),'Entrada Prod (semanal)'!I62,K69)</f>
        <v>0</v>
      </c>
      <c r="L70" s="43">
        <v>68.399999999999821</v>
      </c>
      <c r="M70" s="36">
        <f>IF(H70&lt;&gt;0,SUMPRODUCT(($K$11:K70)*($X$11:X70)/H70),0)</f>
        <v>0</v>
      </c>
      <c r="N70" s="60">
        <f>IF(I70&lt;&gt;0,SUMPRODUCT(($L$11:L70)*($Y$11:Y70)/I70),0)</f>
        <v>64.015920385889643</v>
      </c>
      <c r="O70" s="61">
        <f t="shared" si="1"/>
        <v>0</v>
      </c>
      <c r="P70" s="109">
        <f t="shared" si="2"/>
        <v>53.793523809523975</v>
      </c>
      <c r="Q70" s="102">
        <f t="shared" si="9"/>
        <v>0</v>
      </c>
      <c r="R70" s="103">
        <f t="shared" si="10"/>
        <v>21.153190274999979</v>
      </c>
      <c r="S70" s="85">
        <f t="shared" si="3"/>
        <v>0</v>
      </c>
      <c r="T70" s="136">
        <f t="shared" si="4"/>
        <v>74.320000000000093</v>
      </c>
      <c r="U70" s="169">
        <f t="shared" si="5"/>
        <v>0</v>
      </c>
      <c r="V70" s="352">
        <f t="shared" si="17"/>
        <v>73.140317460317888</v>
      </c>
      <c r="W70" s="352">
        <f t="shared" si="18"/>
        <v>7.8645502645503029</v>
      </c>
      <c r="X70" s="357">
        <f t="shared" si="22"/>
        <v>0</v>
      </c>
      <c r="Y70" s="357">
        <f t="shared" si="12"/>
        <v>5.2024000000000115</v>
      </c>
      <c r="Z70" s="357" t="str">
        <f t="shared" si="6"/>
        <v/>
      </c>
      <c r="AA70" s="357" t="str">
        <f t="shared" si="7"/>
        <v/>
      </c>
      <c r="AB70" s="350">
        <f t="shared" si="16"/>
        <v>0</v>
      </c>
      <c r="AC70" s="350">
        <f t="shared" si="23"/>
        <v>100</v>
      </c>
      <c r="AD70" s="350">
        <f t="shared" si="24"/>
        <v>0</v>
      </c>
      <c r="AE70" s="357">
        <f t="shared" si="25"/>
        <v>0</v>
      </c>
    </row>
    <row r="71" spans="1:31" x14ac:dyDescent="0.25">
      <c r="A71" s="270">
        <v>75</v>
      </c>
      <c r="B71" s="48">
        <f t="array" ref="B71">IF(SUM('Entrada Prod (semanal)'!C$3:C$108)&gt;0,$Q$7-SUM('Entrada Prod (semanal)'!C$3:C63),IF(SUM('Entrada Prod (semanal)'!$D$3:D168)&gt;0,$Q$7-SUM('Entrada Prod (semanal)'!$D$3:D63)/100*$Q$7,$Q$7))</f>
        <v>0</v>
      </c>
      <c r="C71" s="36">
        <f>IF((Info!$J$5&gt;0),B71/$Q$7*100, )</f>
        <v>0</v>
      </c>
      <c r="D71" s="51">
        <v>94.399999999999551</v>
      </c>
      <c r="E71" s="85">
        <f t="array" ref="E71">IF(SUM('Entrada Prod (semanal)'!E$3:E$108)&gt;0,('Entrada Prod (semanal)'!E63)/7/B71*100,IF(SUM('Entrada Prod (semanal)'!$G$3:$G$108)&gt;0,('Entrada Prod (semanal)'!G63), ))</f>
        <v>0</v>
      </c>
      <c r="F71" s="184">
        <v>78.093220338983528</v>
      </c>
      <c r="G71" s="181">
        <f t="array" ref="G71">IF(SUM('Entrada Prod (semanal)'!F$3:F$108)&gt;0,('Entrada Prod (semanal)'!F63)/7/B71*100,IF(SUM('Entrada Prod (semanal)'!$H$3:$H$108)&gt;0,('Entrada Prod (semanal)'!H63), ))</f>
        <v>0</v>
      </c>
      <c r="H71" s="61">
        <f t="shared" si="26"/>
        <v>0</v>
      </c>
      <c r="I71" s="145">
        <f t="shared" si="20"/>
        <v>335.59680000000003</v>
      </c>
      <c r="J71" s="169">
        <f t="shared" si="20"/>
        <v>0</v>
      </c>
      <c r="K71" s="61">
        <f>IF(ISNUMBER('Entrada Prod (semanal)'!I63),'Entrada Prod (semanal)'!I63,K70)</f>
        <v>0</v>
      </c>
      <c r="L71" s="43">
        <v>68.449999999999818</v>
      </c>
      <c r="M71" s="36">
        <f>IF(H71&lt;&gt;0,SUMPRODUCT(($K$11:K71)*($X$11:X71)/H71),0)</f>
        <v>0</v>
      </c>
      <c r="N71" s="60">
        <f>IF(I71&lt;&gt;0,SUMPRODUCT(($L$11:L71)*($Y$11:Y71)/I71),0)</f>
        <v>64.084102276898889</v>
      </c>
      <c r="O71" s="61">
        <f t="shared" si="1"/>
        <v>0</v>
      </c>
      <c r="P71" s="109">
        <f t="shared" si="2"/>
        <v>53.45480932203408</v>
      </c>
      <c r="Q71" s="102">
        <f t="shared" si="9"/>
        <v>0</v>
      </c>
      <c r="R71" s="103">
        <f t="shared" si="10"/>
        <v>21.506419654999977</v>
      </c>
      <c r="S71" s="85">
        <f t="shared" si="3"/>
        <v>0</v>
      </c>
      <c r="T71" s="136">
        <f t="shared" si="4"/>
        <v>73.720000000000098</v>
      </c>
      <c r="U71" s="169">
        <f t="shared" si="5"/>
        <v>0</v>
      </c>
      <c r="V71" s="352">
        <f t="shared" si="17"/>
        <v>72.626694915254674</v>
      </c>
      <c r="W71" s="352">
        <f t="shared" si="18"/>
        <v>7.8093220338983542</v>
      </c>
      <c r="X71" s="357">
        <f t="shared" si="22"/>
        <v>0</v>
      </c>
      <c r="Y71" s="357">
        <f t="shared" si="12"/>
        <v>5.1603999999999814</v>
      </c>
      <c r="Z71" s="357" t="str">
        <f t="shared" si="6"/>
        <v/>
      </c>
      <c r="AA71" s="357" t="str">
        <f t="shared" si="7"/>
        <v/>
      </c>
      <c r="AB71" s="350">
        <f t="shared" si="16"/>
        <v>0</v>
      </c>
      <c r="AC71" s="350">
        <f t="shared" si="23"/>
        <v>100</v>
      </c>
      <c r="AD71" s="350">
        <f t="shared" si="24"/>
        <v>0</v>
      </c>
      <c r="AE71" s="357">
        <f t="shared" si="25"/>
        <v>0</v>
      </c>
    </row>
    <row r="72" spans="1:31" x14ac:dyDescent="0.25">
      <c r="A72" s="271">
        <v>76</v>
      </c>
      <c r="B72" s="49">
        <f t="array" ref="B72">IF(SUM('Entrada Prod (semanal)'!C$3:C$108)&gt;0,$Q$7-SUM('Entrada Prod (semanal)'!C$3:C64),IF(SUM('Entrada Prod (semanal)'!$D$3:D169)&gt;0,$Q$7-SUM('Entrada Prod (semanal)'!$D$3:D64)/100*$Q$7,$Q$7))</f>
        <v>0</v>
      </c>
      <c r="C72" s="37">
        <f>IF((Info!$J$5&gt;0),B72/$Q$7*100, )</f>
        <v>0</v>
      </c>
      <c r="D72" s="54">
        <v>94.299999999999557</v>
      </c>
      <c r="E72" s="86">
        <f t="array" ref="E72">IF(SUM('Entrada Prod (semanal)'!E$3:E$108)&gt;0,('Entrada Prod (semanal)'!E64)/7/B72*100,IF(SUM('Entrada Prod (semanal)'!$G$3:$G$108)&gt;0,('Entrada Prod (semanal)'!G64), ))</f>
        <v>0</v>
      </c>
      <c r="F72" s="187">
        <v>77.539766702015328</v>
      </c>
      <c r="G72" s="182">
        <f t="array" ref="G72">IF(SUM('Entrada Prod (semanal)'!F$3:F$108)&gt;0,('Entrada Prod (semanal)'!F64)/7/B72*100,IF(SUM('Entrada Prod (semanal)'!$H$3:$H$108)&gt;0,('Entrada Prod (semanal)'!H64), ))</f>
        <v>0</v>
      </c>
      <c r="H72" s="62">
        <f t="shared" si="26"/>
        <v>0</v>
      </c>
      <c r="I72" s="146">
        <f t="shared" si="20"/>
        <v>340.71520000000004</v>
      </c>
      <c r="J72" s="170">
        <f t="shared" si="20"/>
        <v>0</v>
      </c>
      <c r="K72" s="62">
        <f>IF(ISNUMBER('Entrada Prod (semanal)'!I64),'Entrada Prod (semanal)'!I64,K71)</f>
        <v>0</v>
      </c>
      <c r="L72" s="44">
        <v>68.499999999999815</v>
      </c>
      <c r="M72" s="37">
        <f>IF(H72&lt;&gt;0,SUMPRODUCT(($K$11:K72)*($X$11:X72)/H72),0)</f>
        <v>0</v>
      </c>
      <c r="N72" s="63">
        <f>IF(I72&lt;&gt;0,SUMPRODUCT(($L$11:L72)*($Y$11:Y72)/I72),0)</f>
        <v>64.150440177015795</v>
      </c>
      <c r="O72" s="62">
        <f t="shared" si="1"/>
        <v>0</v>
      </c>
      <c r="P72" s="113">
        <f t="shared" si="2"/>
        <v>53.114740190880354</v>
      </c>
      <c r="Q72" s="104">
        <f t="shared" si="9"/>
        <v>0</v>
      </c>
      <c r="R72" s="105">
        <f t="shared" si="10"/>
        <v>21.857030054999978</v>
      </c>
      <c r="S72" s="86">
        <f t="shared" si="3"/>
        <v>0</v>
      </c>
      <c r="T72" s="141">
        <f t="shared" si="4"/>
        <v>73.120000000000104</v>
      </c>
      <c r="U72" s="170">
        <f t="shared" si="5"/>
        <v>0</v>
      </c>
      <c r="V72" s="352">
        <f t="shared" si="17"/>
        <v>72.111983032874249</v>
      </c>
      <c r="W72" s="352">
        <f t="shared" si="18"/>
        <v>7.7539766702015385</v>
      </c>
      <c r="X72" s="357">
        <f t="shared" si="22"/>
        <v>0</v>
      </c>
      <c r="Y72" s="357">
        <f t="shared" si="12"/>
        <v>5.1184000000000083</v>
      </c>
      <c r="Z72" s="357" t="str">
        <f t="shared" si="6"/>
        <v/>
      </c>
      <c r="AA72" s="357" t="str">
        <f t="shared" si="7"/>
        <v/>
      </c>
      <c r="AB72" s="350">
        <f t="shared" si="16"/>
        <v>0</v>
      </c>
      <c r="AC72" s="350">
        <f t="shared" si="23"/>
        <v>100</v>
      </c>
      <c r="AD72" s="350">
        <f t="shared" si="24"/>
        <v>0</v>
      </c>
      <c r="AE72" s="357">
        <f t="shared" si="25"/>
        <v>0</v>
      </c>
    </row>
    <row r="73" spans="1:31" x14ac:dyDescent="0.25">
      <c r="A73" s="270">
        <v>77</v>
      </c>
      <c r="B73" s="48">
        <f t="array" ref="B73">IF(SUM('Entrada Prod (semanal)'!C$3:C$108)&gt;0,$Q$7-SUM('Entrada Prod (semanal)'!C$3:C65),IF(SUM('Entrada Prod (semanal)'!$D$3:D170)&gt;0,$Q$7-SUM('Entrada Prod (semanal)'!$D$3:D65)/100*$Q$7,$Q$7))</f>
        <v>0</v>
      </c>
      <c r="C73" s="36">
        <f>IF((Info!$J$5&gt;0),B73/$Q$7*100, )</f>
        <v>0</v>
      </c>
      <c r="D73" s="51">
        <v>94.199999999999534</v>
      </c>
      <c r="E73" s="85">
        <f t="array" ref="E73">IF(SUM('Entrada Prod (semanal)'!E$3:E$108)&gt;0,('Entrada Prod (semanal)'!E65)/7/B73*100,IF(SUM('Entrada Prod (semanal)'!$G$3:$G$108)&gt;0,('Entrada Prod (semanal)'!G65), ))</f>
        <v>0</v>
      </c>
      <c r="F73" s="184">
        <v>76.985138004246778</v>
      </c>
      <c r="G73" s="181">
        <f t="array" ref="G73">IF(SUM('Entrada Prod (semanal)'!F$3:F$108)&gt;0,('Entrada Prod (semanal)'!F65)/7/B73*100,IF(SUM('Entrada Prod (semanal)'!$H$3:$H$108)&gt;0,('Entrada Prod (semanal)'!H65), ))</f>
        <v>0</v>
      </c>
      <c r="H73" s="61">
        <f t="shared" si="26"/>
        <v>0</v>
      </c>
      <c r="I73" s="145">
        <f t="shared" si="20"/>
        <v>345.79160000000007</v>
      </c>
      <c r="J73" s="169">
        <f t="shared" si="20"/>
        <v>0</v>
      </c>
      <c r="K73" s="61">
        <f>IF(ISNUMBER('Entrada Prod (semanal)'!I65),'Entrada Prod (semanal)'!I65,K72)</f>
        <v>0</v>
      </c>
      <c r="L73" s="43">
        <v>68.549999999999812</v>
      </c>
      <c r="M73" s="36">
        <f>IF(H73&lt;&gt;0,SUMPRODUCT(($K$11:K73)*($X$11:X73)/H73),0)</f>
        <v>0</v>
      </c>
      <c r="N73" s="60">
        <f>IF(I73&lt;&gt;0,SUMPRODUCT(($L$11:L73)*($Y$11:Y73)/I73),0)</f>
        <v>64.215027996631434</v>
      </c>
      <c r="O73" s="61">
        <f t="shared" si="1"/>
        <v>0</v>
      </c>
      <c r="P73" s="109">
        <f t="shared" si="2"/>
        <v>52.773312101911024</v>
      </c>
      <c r="Q73" s="102">
        <f t="shared" si="9"/>
        <v>0</v>
      </c>
      <c r="R73" s="103">
        <f t="shared" si="10"/>
        <v>22.205017274999978</v>
      </c>
      <c r="S73" s="85">
        <f t="shared" si="3"/>
        <v>0</v>
      </c>
      <c r="T73" s="136">
        <f t="shared" si="4"/>
        <v>72.52000000000011</v>
      </c>
      <c r="U73" s="169">
        <f t="shared" si="5"/>
        <v>0</v>
      </c>
      <c r="V73" s="352">
        <f t="shared" si="17"/>
        <v>71.596178343949504</v>
      </c>
      <c r="W73" s="352">
        <f t="shared" si="18"/>
        <v>7.6985138004246778</v>
      </c>
      <c r="X73" s="357">
        <f t="shared" si="22"/>
        <v>0</v>
      </c>
      <c r="Y73" s="357">
        <f t="shared" si="12"/>
        <v>5.0764000000000351</v>
      </c>
      <c r="Z73" s="357" t="str">
        <f t="shared" si="6"/>
        <v/>
      </c>
      <c r="AA73" s="357" t="str">
        <f t="shared" si="7"/>
        <v/>
      </c>
      <c r="AB73" s="350">
        <f t="shared" si="16"/>
        <v>0</v>
      </c>
      <c r="AC73" s="350">
        <f t="shared" si="23"/>
        <v>100</v>
      </c>
      <c r="AD73" s="350">
        <f t="shared" si="24"/>
        <v>0</v>
      </c>
      <c r="AE73" s="357">
        <f t="shared" si="25"/>
        <v>0</v>
      </c>
    </row>
    <row r="74" spans="1:31" x14ac:dyDescent="0.25">
      <c r="A74" s="270">
        <v>78</v>
      </c>
      <c r="B74" s="48">
        <f t="array" ref="B74">IF(SUM('Entrada Prod (semanal)'!C$3:C$108)&gt;0,$Q$7-SUM('Entrada Prod (semanal)'!C$3:C66),IF(SUM('Entrada Prod (semanal)'!$D$3:D171)&gt;0,$Q$7-SUM('Entrada Prod (semanal)'!$D$3:D66)/100*$Q$7,$Q$7))</f>
        <v>0</v>
      </c>
      <c r="C74" s="36">
        <f>IF((Info!$J$5&gt;0),B74/$Q$7*100, )</f>
        <v>0</v>
      </c>
      <c r="D74" s="51">
        <v>94.099999999999525</v>
      </c>
      <c r="E74" s="85">
        <f t="array" ref="E74">IF(SUM('Entrada Prod (semanal)'!E$3:E$108)&gt;0,('Entrada Prod (semanal)'!E66)/7/B74*100,IF(SUM('Entrada Prod (semanal)'!$G$3:$G$108)&gt;0,('Entrada Prod (semanal)'!G66), ))</f>
        <v>0</v>
      </c>
      <c r="F74" s="184">
        <v>76.42933049946916</v>
      </c>
      <c r="G74" s="181">
        <f t="array" ref="G74">IF(SUM('Entrada Prod (semanal)'!F$3:F$108)&gt;0,('Entrada Prod (semanal)'!F66)/7/B74*100,IF(SUM('Entrada Prod (semanal)'!$H$3:$H$108)&gt;0,('Entrada Prod (semanal)'!H66), ))</f>
        <v>0</v>
      </c>
      <c r="H74" s="61">
        <f t="shared" si="26"/>
        <v>0</v>
      </c>
      <c r="I74" s="145">
        <f t="shared" si="20"/>
        <v>350.82600000000008</v>
      </c>
      <c r="J74" s="169">
        <f t="shared" si="20"/>
        <v>0</v>
      </c>
      <c r="K74" s="61">
        <f>IF(ISNUMBER('Entrada Prod (semanal)'!I66),'Entrada Prod (semanal)'!I66,K73)</f>
        <v>0</v>
      </c>
      <c r="L74" s="43">
        <v>68.59999999999981</v>
      </c>
      <c r="M74" s="36">
        <f>IF(H74&lt;&gt;0,SUMPRODUCT(($K$11:K74)*($X$11:X74)/H74),0)</f>
        <v>0</v>
      </c>
      <c r="N74" s="60">
        <f>IF(I74&lt;&gt;0,SUMPRODUCT(($L$11:L74)*($Y$11:Y74)/I74),0)</f>
        <v>64.277952931082581</v>
      </c>
      <c r="O74" s="61">
        <f t="shared" si="1"/>
        <v>0</v>
      </c>
      <c r="P74" s="109">
        <f t="shared" si="2"/>
        <v>52.430520722635698</v>
      </c>
      <c r="Q74" s="102">
        <f t="shared" si="9"/>
        <v>0</v>
      </c>
      <c r="R74" s="103">
        <f t="shared" si="10"/>
        <v>22.550377114999979</v>
      </c>
      <c r="S74" s="85">
        <f t="shared" si="3"/>
        <v>0</v>
      </c>
      <c r="T74" s="136">
        <f t="shared" si="4"/>
        <v>71.920000000000115</v>
      </c>
      <c r="U74" s="169">
        <f t="shared" si="5"/>
        <v>0</v>
      </c>
      <c r="V74" s="352">
        <f t="shared" si="17"/>
        <v>71.079277364506311</v>
      </c>
      <c r="W74" s="352">
        <f t="shared" si="18"/>
        <v>7.6429330499469188</v>
      </c>
      <c r="X74" s="357">
        <f t="shared" si="22"/>
        <v>0</v>
      </c>
      <c r="Y74" s="357">
        <f t="shared" si="12"/>
        <v>5.0344000000000051</v>
      </c>
      <c r="Z74" s="357" t="str">
        <f t="shared" si="6"/>
        <v/>
      </c>
      <c r="AA74" s="357" t="str">
        <f t="shared" si="7"/>
        <v/>
      </c>
      <c r="AB74" s="350">
        <f t="shared" si="16"/>
        <v>0</v>
      </c>
      <c r="AC74" s="350">
        <f t="shared" si="23"/>
        <v>100</v>
      </c>
      <c r="AD74" s="350">
        <f t="shared" si="24"/>
        <v>0</v>
      </c>
      <c r="AE74" s="357">
        <f t="shared" si="25"/>
        <v>0</v>
      </c>
    </row>
    <row r="75" spans="1:31" x14ac:dyDescent="0.25">
      <c r="A75" s="270">
        <v>79</v>
      </c>
      <c r="B75" s="48">
        <f t="array" ref="B75">IF(SUM('Entrada Prod (semanal)'!C$3:C$108)&gt;0,$Q$7-SUM('Entrada Prod (semanal)'!C$3:C67),IF(SUM('Entrada Prod (semanal)'!$D$3:D172)&gt;0,$Q$7-SUM('Entrada Prod (semanal)'!$D$3:D67)/100*$Q$7,$Q$7))</f>
        <v>0</v>
      </c>
      <c r="C75" s="36">
        <f>IF((Info!$J$5&gt;0),B75/$Q$7*100, )</f>
        <v>0</v>
      </c>
      <c r="D75" s="51">
        <v>93.999999999999503</v>
      </c>
      <c r="E75" s="85">
        <f t="array" ref="E75">IF(SUM('Entrada Prod (semanal)'!E$3:E$108)&gt;0,('Entrada Prod (semanal)'!E67)/7/B75*100,IF(SUM('Entrada Prod (semanal)'!$G$3:$G$108)&gt;0,('Entrada Prod (semanal)'!G67), ))</f>
        <v>0</v>
      </c>
      <c r="F75" s="184">
        <v>75.872340425532443</v>
      </c>
      <c r="G75" s="181">
        <f t="array" ref="G75">IF(SUM('Entrada Prod (semanal)'!F$3:F$108)&gt;0,('Entrada Prod (semanal)'!F67)/7/B75*100,IF(SUM('Entrada Prod (semanal)'!$H$3:$H$108)&gt;0,('Entrada Prod (semanal)'!H67), ))</f>
        <v>0</v>
      </c>
      <c r="H75" s="61">
        <f t="shared" si="26"/>
        <v>0</v>
      </c>
      <c r="I75" s="145">
        <f t="shared" si="20"/>
        <v>355.81840000000011</v>
      </c>
      <c r="J75" s="169">
        <f t="shared" si="20"/>
        <v>0</v>
      </c>
      <c r="K75" s="61">
        <f>IF(ISNUMBER('Entrada Prod (semanal)'!I67),'Entrada Prod (semanal)'!I67,K74)</f>
        <v>0</v>
      </c>
      <c r="L75" s="43">
        <v>68.649999999999807</v>
      </c>
      <c r="M75" s="36">
        <f>IF(H75&lt;&gt;0,SUMPRODUCT(($K$11:K75)*($X$11:X75)/H75),0)</f>
        <v>0</v>
      </c>
      <c r="N75" s="60">
        <f>IF(I75&lt;&gt;0,SUMPRODUCT(($L$11:L75)*($Y$11:Y75)/I75),0)</f>
        <v>64.339296042587918</v>
      </c>
      <c r="O75" s="61">
        <f t="shared" si="1"/>
        <v>0</v>
      </c>
      <c r="P75" s="109">
        <f t="shared" si="2"/>
        <v>52.086361702127881</v>
      </c>
      <c r="Q75" s="102">
        <f t="shared" si="9"/>
        <v>0</v>
      </c>
      <c r="R75" s="103">
        <f t="shared" si="10"/>
        <v>22.89310537499998</v>
      </c>
      <c r="S75" s="85">
        <f t="shared" si="3"/>
        <v>0</v>
      </c>
      <c r="T75" s="136">
        <f t="shared" si="4"/>
        <v>71.320000000000121</v>
      </c>
      <c r="U75" s="169">
        <f t="shared" si="5"/>
        <v>0</v>
      </c>
      <c r="V75" s="352">
        <f t="shared" si="17"/>
        <v>70.56127659574517</v>
      </c>
      <c r="W75" s="352">
        <f t="shared" si="18"/>
        <v>7.5872340425532485</v>
      </c>
      <c r="X75" s="357">
        <f t="shared" si="22"/>
        <v>0</v>
      </c>
      <c r="Y75" s="357">
        <f t="shared" si="12"/>
        <v>4.9924000000000319</v>
      </c>
      <c r="Z75" s="357" t="str">
        <f t="shared" si="6"/>
        <v/>
      </c>
      <c r="AA75" s="357" t="str">
        <f t="shared" si="7"/>
        <v/>
      </c>
      <c r="AB75" s="350">
        <f t="shared" si="16"/>
        <v>0</v>
      </c>
      <c r="AC75" s="350">
        <f t="shared" si="23"/>
        <v>100</v>
      </c>
      <c r="AD75" s="350">
        <f t="shared" si="24"/>
        <v>0</v>
      </c>
      <c r="AE75" s="357">
        <f t="shared" si="25"/>
        <v>0</v>
      </c>
    </row>
    <row r="76" spans="1:31" x14ac:dyDescent="0.25">
      <c r="A76" s="271">
        <v>80</v>
      </c>
      <c r="B76" s="363">
        <f t="array" ref="B76">IF(SUM('Entrada Prod (semanal)'!C$3:C$108)&gt;0,$Q$7-SUM('Entrada Prod (semanal)'!C$3:C68),IF(SUM('Entrada Prod (semanal)'!$D$3:D173)&gt;0,$Q$7-SUM('Entrada Prod (semanal)'!$D$3:D68)/100*$Q$7,$Q$7))</f>
        <v>0</v>
      </c>
      <c r="C76" s="364">
        <f>IF((Info!$J$5&gt;0),B76/$Q$7*100, )</f>
        <v>0</v>
      </c>
      <c r="D76" s="54">
        <v>93.899999999999523</v>
      </c>
      <c r="E76" s="365">
        <f t="array" ref="E76">IF(SUM('Entrada Prod (semanal)'!E$3:E$108)&gt;0,('Entrada Prod (semanal)'!E68)/7/B76*100,IF(SUM('Entrada Prod (semanal)'!$G$3:$G$108)&gt;0,('Entrada Prod (semanal)'!G68), ))</f>
        <v>0</v>
      </c>
      <c r="F76" s="187">
        <v>75.314164004260377</v>
      </c>
      <c r="G76" s="366">
        <f t="array" ref="G76">IF(SUM('Entrada Prod (semanal)'!F$3:F$108)&gt;0,('Entrada Prod (semanal)'!F68)/7/B76*100,IF(SUM('Entrada Prod (semanal)'!$H$3:$H$108)&gt;0,('Entrada Prod (semanal)'!H68), ))</f>
        <v>0</v>
      </c>
      <c r="H76" s="367">
        <f t="shared" si="26"/>
        <v>0</v>
      </c>
      <c r="I76" s="146">
        <f t="shared" ref="I76:J107" si="27">IF(ISNUMBER(T76),7*T76/100+I75, )</f>
        <v>360.76880000000011</v>
      </c>
      <c r="J76" s="368">
        <f t="shared" si="27"/>
        <v>0</v>
      </c>
      <c r="K76" s="367">
        <f>IF(ISNUMBER('Entrada Prod (semanal)'!I68),'Entrada Prod (semanal)'!I68,K75)</f>
        <v>0</v>
      </c>
      <c r="L76" s="44">
        <v>68.699999999999804</v>
      </c>
      <c r="M76" s="364">
        <f>IF(H76&lt;&gt;0,SUMPRODUCT(($K$11:K76)*($X$11:X76)/H76),0)</f>
        <v>0</v>
      </c>
      <c r="N76" s="63">
        <f>IF(I76&lt;&gt;0,SUMPRODUCT(($L$11:L76)*($Y$11:Y76)/I76),0)</f>
        <v>64.399132782546502</v>
      </c>
      <c r="O76" s="367">
        <f t="shared" ref="O76:O116" si="28">IF(ISNUMBER(K76),K76*E76/100,"")</f>
        <v>0</v>
      </c>
      <c r="P76" s="113">
        <f t="shared" ref="P76:P116" si="29">(L76*F76/100)</f>
        <v>51.740830670926734</v>
      </c>
      <c r="Q76" s="369">
        <f t="shared" si="9"/>
        <v>0</v>
      </c>
      <c r="R76" s="105">
        <f t="shared" si="10"/>
        <v>23.233197854999979</v>
      </c>
      <c r="S76" s="365">
        <f t="shared" ref="S76:S116" si="30">E76*C76/100</f>
        <v>0</v>
      </c>
      <c r="T76" s="141">
        <f t="shared" ref="T76:T116" si="31">IF(ISNUMBER(F76),F76*D76/100,"")</f>
        <v>70.720000000000141</v>
      </c>
      <c r="U76" s="368">
        <f t="shared" ref="U76:U116" si="32">IF(ISNUMBER(G76),G76*C76/100,"")</f>
        <v>0</v>
      </c>
      <c r="V76" s="352">
        <f t="shared" si="17"/>
        <v>70.042172523962151</v>
      </c>
      <c r="W76" s="352">
        <f t="shared" si="18"/>
        <v>7.5314164004260391</v>
      </c>
      <c r="X76" s="357">
        <f t="shared" si="22"/>
        <v>0</v>
      </c>
      <c r="Y76" s="357">
        <f t="shared" si="12"/>
        <v>4.9504000000000019</v>
      </c>
      <c r="Z76" s="357" t="str">
        <f t="shared" ref="Z76:Z116" si="33">IF(E76&gt;=90,E76,"" )</f>
        <v/>
      </c>
      <c r="AA76" s="357" t="str">
        <f t="shared" ref="AA76:AA116" si="34">IF(E76&gt;0,(IF(F76&gt;=90,F76,"" )),"")</f>
        <v/>
      </c>
      <c r="AB76" s="350">
        <f t="shared" si="16"/>
        <v>0</v>
      </c>
      <c r="AC76" s="350">
        <f t="shared" si="23"/>
        <v>100</v>
      </c>
      <c r="AD76" s="350">
        <f t="shared" si="24"/>
        <v>0</v>
      </c>
      <c r="AE76" s="357">
        <f t="shared" si="25"/>
        <v>0</v>
      </c>
    </row>
    <row r="77" spans="1:31" x14ac:dyDescent="0.25">
      <c r="A77" s="270">
        <v>81</v>
      </c>
      <c r="B77" s="48">
        <f t="array" ref="B77">IF(SUM('Entrada Prod (semanal)'!C$3:C$108)&gt;0,$Q$7-SUM('Entrada Prod (semanal)'!C$3:C69),IF(SUM('Entrada Prod (semanal)'!$D$3:D174)&gt;0,$Q$7-SUM('Entrada Prod (semanal)'!$D$3:D69)/100*$Q$7,$Q$7))</f>
        <v>0</v>
      </c>
      <c r="C77" s="36">
        <f>IF((Info!$J$5&gt;0),B77/$Q$7*100, )</f>
        <v>0</v>
      </c>
      <c r="D77" s="51">
        <v>93.800000000000011</v>
      </c>
      <c r="E77" s="85">
        <f t="array" ref="E77">IF(SUM('Entrada Prod (semanal)'!E$3:E$108)&gt;0,('Entrada Prod (semanal)'!E69)/7/B77*100,IF(SUM('Entrada Prod (semanal)'!$G$3:$G$108)&gt;0,('Entrada Prod (semanal)'!G69), ))</f>
        <v>0</v>
      </c>
      <c r="F77" s="134">
        <v>74.754797441364744</v>
      </c>
      <c r="G77" s="169">
        <f t="array" ref="G77">IF(SUM('Entrada Prod (semanal)'!F$3:F$108)&gt;0,('Entrada Prod (semanal)'!F69)/7/B77*100,IF(SUM('Entrada Prod (semanal)'!$H$3:$H$108)&gt;0,('Entrada Prod (semanal)'!H69), ))</f>
        <v>0</v>
      </c>
      <c r="H77" s="61">
        <f t="shared" ref="H77:H92" si="35">7*S77/100+H76</f>
        <v>0</v>
      </c>
      <c r="I77" s="145">
        <f t="shared" si="27"/>
        <v>365.67720000000014</v>
      </c>
      <c r="J77" s="169">
        <f t="shared" si="27"/>
        <v>0</v>
      </c>
      <c r="K77" s="61">
        <f>IF(ISNUMBER('Entrada Prod (semanal)'!I69),'Entrada Prod (semanal)'!I69,K76)</f>
        <v>0</v>
      </c>
      <c r="L77" s="42">
        <v>68.749999999999801</v>
      </c>
      <c r="M77" s="36">
        <f>IF(H77&lt;&gt;0,SUMPRODUCT(($K$11:K77)*($X$11:X77)/H77),0)</f>
        <v>0</v>
      </c>
      <c r="N77" s="60">
        <f>IF(I77&lt;&gt;0,SUMPRODUCT(($L$11:L77)*($Y$11:Y77)/I77),0)</f>
        <v>64.4575334612056</v>
      </c>
      <c r="O77" s="61">
        <f t="shared" si="28"/>
        <v>0</v>
      </c>
      <c r="P77" s="110">
        <f t="shared" si="29"/>
        <v>51.393923240938108</v>
      </c>
      <c r="Q77" s="102">
        <f t="shared" ref="Q77:Q116" si="36">IF(ISNUMBER(K77),E77/100*C77/100*7*K77/1000+Q76,"")</f>
        <v>0</v>
      </c>
      <c r="R77" s="103">
        <f t="shared" ref="R77:R116" si="37">F77/100*D77/100*7*L77/1000+R76</f>
        <v>23.57065035499998</v>
      </c>
      <c r="S77" s="85">
        <f t="shared" si="30"/>
        <v>0</v>
      </c>
      <c r="T77" s="143">
        <f t="shared" si="31"/>
        <v>70.120000000000132</v>
      </c>
      <c r="U77" s="169">
        <f t="shared" si="32"/>
        <v>0</v>
      </c>
      <c r="V77" s="352">
        <f t="shared" si="17"/>
        <v>69.521961620469213</v>
      </c>
      <c r="W77" s="352">
        <f t="shared" si="18"/>
        <v>7.4754797441364786</v>
      </c>
      <c r="X77" s="357">
        <f t="shared" ref="X77:X108" si="38">H77-H76</f>
        <v>0</v>
      </c>
      <c r="Y77" s="357">
        <f t="shared" ref="Y77:Y116" si="39">I77-I76</f>
        <v>4.9084000000000287</v>
      </c>
      <c r="Z77" s="357" t="str">
        <f t="shared" si="33"/>
        <v/>
      </c>
      <c r="AA77" s="357" t="str">
        <f t="shared" si="34"/>
        <v/>
      </c>
      <c r="AB77" s="350">
        <f t="shared" si="16"/>
        <v>0</v>
      </c>
      <c r="AC77" s="350">
        <f t="shared" ref="AC77:AC108" si="40">IF(C77&lt;C76,D77,AC76)</f>
        <v>100</v>
      </c>
      <c r="AD77" s="350">
        <f t="shared" ref="AD77:AD108" si="41">IF(M77&gt;M76,N77,AD76)</f>
        <v>0</v>
      </c>
      <c r="AE77" s="357">
        <f t="shared" ref="AE77:AE108" si="42">IF(O77&gt;0,R77,AE76)</f>
        <v>0</v>
      </c>
    </row>
    <row r="78" spans="1:31" x14ac:dyDescent="0.25">
      <c r="A78" s="270">
        <v>82</v>
      </c>
      <c r="B78" s="48">
        <f t="array" ref="B78">IF(SUM('Entrada Prod (semanal)'!C$3:C$108)&gt;0,$Q$7-SUM('Entrada Prod (semanal)'!C$3:C70),IF(SUM('Entrada Prod (semanal)'!$D$3:D175)&gt;0,$Q$7-SUM('Entrada Prod (semanal)'!$D$3:D70)/100*$Q$7,$Q$7))</f>
        <v>0</v>
      </c>
      <c r="C78" s="36">
        <f>IF((Info!$J$5&gt;0),B78/$Q$7*100, )</f>
        <v>0</v>
      </c>
      <c r="D78" s="53">
        <v>93.7000000000005</v>
      </c>
      <c r="E78" s="85">
        <f t="array" ref="E78">IF(SUM('Entrada Prod (semanal)'!E$3:E$108)&gt;0,('Entrada Prod (semanal)'!E70)/7/B78*100,IF(SUM('Entrada Prod (semanal)'!$G$3:$G$108)&gt;0,('Entrada Prod (semanal)'!G70), ))</f>
        <v>0</v>
      </c>
      <c r="F78" s="134">
        <v>74.194236926360475</v>
      </c>
      <c r="G78" s="169">
        <f t="array" ref="G78">IF(SUM('Entrada Prod (semanal)'!F$3:F$108)&gt;0,('Entrada Prod (semanal)'!F70)/7/B78*100,IF(SUM('Entrada Prod (semanal)'!$H$3:$H$108)&gt;0,('Entrada Prod (semanal)'!H70), ))</f>
        <v>0</v>
      </c>
      <c r="H78" s="61">
        <f t="shared" si="35"/>
        <v>0</v>
      </c>
      <c r="I78" s="145">
        <f t="shared" si="27"/>
        <v>370.54360000000014</v>
      </c>
      <c r="J78" s="169">
        <f t="shared" si="27"/>
        <v>0</v>
      </c>
      <c r="K78" s="61">
        <f>IF(ISNUMBER('Entrada Prod (semanal)'!I70),'Entrada Prod (semanal)'!I70,K77)</f>
        <v>0</v>
      </c>
      <c r="L78" s="42">
        <v>68.799999999999798</v>
      </c>
      <c r="M78" s="36">
        <f>IF(H78&lt;&gt;0,SUMPRODUCT(($K$11:K78)*($X$11:X78)/H78),0)</f>
        <v>0</v>
      </c>
      <c r="N78" s="60">
        <f>IF(I78&lt;&gt;0,SUMPRODUCT(($L$11:L78)*($Y$11:Y78)/I78),0)</f>
        <v>64.514563670779822</v>
      </c>
      <c r="O78" s="61">
        <f t="shared" si="28"/>
        <v>0</v>
      </c>
      <c r="P78" s="110">
        <f t="shared" si="29"/>
        <v>51.045635005335853</v>
      </c>
      <c r="Q78" s="102">
        <f t="shared" si="36"/>
        <v>0</v>
      </c>
      <c r="R78" s="103">
        <f t="shared" si="37"/>
        <v>23.905458674999981</v>
      </c>
      <c r="S78" s="85">
        <f t="shared" si="30"/>
        <v>0</v>
      </c>
      <c r="T78" s="143">
        <f t="shared" si="31"/>
        <v>69.520000000000138</v>
      </c>
      <c r="U78" s="169">
        <f t="shared" si="32"/>
        <v>0</v>
      </c>
      <c r="V78" s="352">
        <f t="shared" si="17"/>
        <v>69.000640341515236</v>
      </c>
      <c r="W78" s="352">
        <f t="shared" si="18"/>
        <v>7.4194236926360588</v>
      </c>
      <c r="X78" s="357">
        <f t="shared" si="38"/>
        <v>0</v>
      </c>
      <c r="Y78" s="357">
        <f t="shared" si="39"/>
        <v>4.8663999999999987</v>
      </c>
      <c r="Z78" s="357" t="str">
        <f t="shared" si="33"/>
        <v/>
      </c>
      <c r="AA78" s="357" t="str">
        <f t="shared" si="34"/>
        <v/>
      </c>
      <c r="AB78" s="350">
        <f t="shared" ref="AB78:AB116" si="43">IF(H78&gt;H77,I78,AB77)</f>
        <v>0</v>
      </c>
      <c r="AC78" s="350">
        <f t="shared" si="40"/>
        <v>100</v>
      </c>
      <c r="AD78" s="350">
        <f t="shared" si="41"/>
        <v>0</v>
      </c>
      <c r="AE78" s="357">
        <f t="shared" si="42"/>
        <v>0</v>
      </c>
    </row>
    <row r="79" spans="1:31" x14ac:dyDescent="0.25">
      <c r="A79" s="270">
        <v>83</v>
      </c>
      <c r="B79" s="48">
        <f t="array" ref="B79">IF(SUM('Entrada Prod (semanal)'!C$3:C$108)&gt;0,$Q$7-SUM('Entrada Prod (semanal)'!C$3:C71),IF(SUM('Entrada Prod (semanal)'!$D$3:D176)&gt;0,$Q$7-SUM('Entrada Prod (semanal)'!$D$3:D71)/100*$Q$7,$Q$7))</f>
        <v>0</v>
      </c>
      <c r="C79" s="36">
        <f>IF((Info!$J$5&gt;0),B79/$Q$7*100, )</f>
        <v>0</v>
      </c>
      <c r="D79" s="53">
        <v>93.600000000001017</v>
      </c>
      <c r="E79" s="85">
        <f t="array" ref="E79">IF(SUM('Entrada Prod (semanal)'!E$3:E$108)&gt;0,('Entrada Prod (semanal)'!E71)/7/B79*100,IF(SUM('Entrada Prod (semanal)'!$G$3:$G$108)&gt;0,('Entrada Prod (semanal)'!G71), ))</f>
        <v>0</v>
      </c>
      <c r="F79" s="134">
        <v>73.632478632477984</v>
      </c>
      <c r="G79" s="169">
        <f t="array" ref="G79">IF(SUM('Entrada Prod (semanal)'!F$3:F$108)&gt;0,('Entrada Prod (semanal)'!F71)/7/B79*100,IF(SUM('Entrada Prod (semanal)'!$H$3:$H$108)&gt;0,('Entrada Prod (semanal)'!H71), ))</f>
        <v>0</v>
      </c>
      <c r="H79" s="61">
        <f t="shared" si="35"/>
        <v>0</v>
      </c>
      <c r="I79" s="145">
        <f t="shared" si="27"/>
        <v>375.36800000000017</v>
      </c>
      <c r="J79" s="169">
        <f t="shared" si="27"/>
        <v>0</v>
      </c>
      <c r="K79" s="61">
        <f>IF(ISNUMBER('Entrada Prod (semanal)'!I71),'Entrada Prod (semanal)'!I71,K78)</f>
        <v>0</v>
      </c>
      <c r="L79" s="42">
        <v>68.849999999999795</v>
      </c>
      <c r="M79" s="36">
        <f>IF(H79&lt;&gt;0,SUMPRODUCT(($K$11:K79)*($X$11:X79)/H79),0)</f>
        <v>0</v>
      </c>
      <c r="N79" s="60">
        <f>IF(I79&lt;&gt;0,SUMPRODUCT(($L$11:L79)*($Y$11:Y79)/I79),0)</f>
        <v>64.570284667313061</v>
      </c>
      <c r="O79" s="61">
        <f t="shared" si="28"/>
        <v>0</v>
      </c>
      <c r="P79" s="111">
        <f t="shared" si="29"/>
        <v>50.695961538460942</v>
      </c>
      <c r="Q79" s="102">
        <f t="shared" si="36"/>
        <v>0</v>
      </c>
      <c r="R79" s="103">
        <f t="shared" si="37"/>
        <v>24.237618614999981</v>
      </c>
      <c r="S79" s="85">
        <f t="shared" si="30"/>
        <v>0</v>
      </c>
      <c r="T79" s="144">
        <f t="shared" si="31"/>
        <v>68.920000000000144</v>
      </c>
      <c r="U79" s="169">
        <f t="shared" si="32"/>
        <v>0</v>
      </c>
      <c r="V79" s="352">
        <f t="shared" si="17"/>
        <v>68.478205128204522</v>
      </c>
      <c r="W79" s="352">
        <f t="shared" si="18"/>
        <v>7.3632478632478069</v>
      </c>
      <c r="X79" s="357">
        <f t="shared" si="38"/>
        <v>0</v>
      </c>
      <c r="Y79" s="357">
        <f t="shared" si="39"/>
        <v>4.8244000000000256</v>
      </c>
      <c r="Z79" s="357" t="str">
        <f t="shared" si="33"/>
        <v/>
      </c>
      <c r="AA79" s="357" t="str">
        <f t="shared" si="34"/>
        <v/>
      </c>
      <c r="AB79" s="350">
        <f t="shared" si="43"/>
        <v>0</v>
      </c>
      <c r="AC79" s="350">
        <f t="shared" si="40"/>
        <v>100</v>
      </c>
      <c r="AD79" s="350">
        <f t="shared" si="41"/>
        <v>0</v>
      </c>
      <c r="AE79" s="357">
        <f t="shared" si="42"/>
        <v>0</v>
      </c>
    </row>
    <row r="80" spans="1:31" x14ac:dyDescent="0.25">
      <c r="A80" s="271">
        <v>84</v>
      </c>
      <c r="B80" s="49">
        <f t="array" ref="B80">IF(SUM('Entrada Prod (semanal)'!C$3:C$108)&gt;0,$Q$7-SUM('Entrada Prod (semanal)'!C$3:C72),IF(SUM('Entrada Prod (semanal)'!$D$3:D177)&gt;0,$Q$7-SUM('Entrada Prod (semanal)'!$D$3:D72)/100*$Q$7,$Q$7))</f>
        <v>0</v>
      </c>
      <c r="C80" s="37">
        <f>IF((Info!$J$5&gt;0),B80/$Q$7*100, )</f>
        <v>0</v>
      </c>
      <c r="D80" s="52">
        <v>93.500000000001521</v>
      </c>
      <c r="E80" s="86">
        <f t="array" ref="E80">IF(SUM('Entrada Prod (semanal)'!E$3:E$108)&gt;0,('Entrada Prod (semanal)'!E72)/7/B80*100,IF(SUM('Entrada Prod (semanal)'!$G$3:$G$108)&gt;0,('Entrada Prod (semanal)'!G72), ))</f>
        <v>0</v>
      </c>
      <c r="F80" s="158">
        <v>73.069518716576511</v>
      </c>
      <c r="G80" s="170">
        <f t="array" ref="G80">IF(SUM('Entrada Prod (semanal)'!F$3:F$108)&gt;0,('Entrada Prod (semanal)'!F72)/7/B80*100,IF(SUM('Entrada Prod (semanal)'!$H$3:$H$108)&gt;0,('Entrada Prod (semanal)'!H72), ))</f>
        <v>0</v>
      </c>
      <c r="H80" s="62">
        <f t="shared" si="35"/>
        <v>0</v>
      </c>
      <c r="I80" s="146">
        <f t="shared" si="27"/>
        <v>380.15040000000016</v>
      </c>
      <c r="J80" s="170">
        <f t="shared" si="27"/>
        <v>0</v>
      </c>
      <c r="K80" s="62">
        <f>IF(ISNUMBER('Entrada Prod (semanal)'!I72),'Entrada Prod (semanal)'!I72,K79)</f>
        <v>0</v>
      </c>
      <c r="L80" s="45">
        <v>68.899999999999793</v>
      </c>
      <c r="M80" s="37">
        <f>IF(H80&lt;&gt;0,SUMPRODUCT(($K$11:K80)*($X$11:X80)/H80),0)</f>
        <v>0</v>
      </c>
      <c r="N80" s="63">
        <f>IF(I80&lt;&gt;0,SUMPRODUCT(($L$11:L80)*($Y$11:Y80)/I80),0)</f>
        <v>64.624753715897654</v>
      </c>
      <c r="O80" s="62">
        <f t="shared" si="28"/>
        <v>0</v>
      </c>
      <c r="P80" s="112">
        <f t="shared" si="29"/>
        <v>50.344898395721067</v>
      </c>
      <c r="Q80" s="104">
        <f t="shared" si="36"/>
        <v>0</v>
      </c>
      <c r="R80" s="105">
        <f t="shared" si="37"/>
        <v>24.567125974999982</v>
      </c>
      <c r="S80" s="86">
        <f t="shared" si="30"/>
        <v>0</v>
      </c>
      <c r="T80" s="140">
        <f t="shared" si="31"/>
        <v>68.320000000000149</v>
      </c>
      <c r="U80" s="170">
        <f t="shared" si="32"/>
        <v>0</v>
      </c>
      <c r="V80" s="352">
        <f t="shared" ref="V80:V116" si="44">F80-F80*0.07</f>
        <v>67.954652406416159</v>
      </c>
      <c r="W80" s="352">
        <f t="shared" ref="W80:W116" si="45">F80+F80*0.03-V80</f>
        <v>7.3069518716576454</v>
      </c>
      <c r="X80" s="357">
        <f t="shared" si="38"/>
        <v>0</v>
      </c>
      <c r="Y80" s="357">
        <f t="shared" si="39"/>
        <v>4.7823999999999955</v>
      </c>
      <c r="Z80" s="357" t="str">
        <f t="shared" si="33"/>
        <v/>
      </c>
      <c r="AA80" s="357" t="str">
        <f t="shared" si="34"/>
        <v/>
      </c>
      <c r="AB80" s="350">
        <f t="shared" si="43"/>
        <v>0</v>
      </c>
      <c r="AC80" s="350">
        <f t="shared" si="40"/>
        <v>100</v>
      </c>
      <c r="AD80" s="350">
        <f t="shared" si="41"/>
        <v>0</v>
      </c>
      <c r="AE80" s="357">
        <f t="shared" si="42"/>
        <v>0</v>
      </c>
    </row>
    <row r="81" spans="1:31" x14ac:dyDescent="0.25">
      <c r="A81" s="270">
        <v>85</v>
      </c>
      <c r="B81" s="48">
        <f t="array" ref="B81">IF(SUM('Entrada Prod (semanal)'!C$3:C$108)&gt;0,$Q$7-SUM('Entrada Prod (semanal)'!C$3:C73),IF(SUM('Entrada Prod (semanal)'!$D$3:D178)&gt;0,$Q$7-SUM('Entrada Prod (semanal)'!$D$3:D73)/100*$Q$7,$Q$7))</f>
        <v>0</v>
      </c>
      <c r="C81" s="36">
        <f>IF((Info!$J$5&gt;0),B81/$Q$7*100, )</f>
        <v>0</v>
      </c>
      <c r="D81" s="51">
        <v>93.400000000002024</v>
      </c>
      <c r="E81" s="85">
        <f t="array" ref="E81">IF(SUM('Entrada Prod (semanal)'!E$3:E$108)&gt;0,('Entrada Prod (semanal)'!E73)/7/B81*100,IF(SUM('Entrada Prod (semanal)'!$G$3:$G$108)&gt;0,('Entrada Prod (semanal)'!G73), ))</f>
        <v>0</v>
      </c>
      <c r="F81" s="134">
        <v>72.505353319056411</v>
      </c>
      <c r="G81" s="169">
        <f t="array" ref="G81">IF(SUM('Entrada Prod (semanal)'!F$3:F$108)&gt;0,('Entrada Prod (semanal)'!F73)/7/B81*100,IF(SUM('Entrada Prod (semanal)'!$H$3:$H$108)&gt;0,('Entrada Prod (semanal)'!H73), ))</f>
        <v>0</v>
      </c>
      <c r="H81" s="61">
        <f t="shared" si="35"/>
        <v>0</v>
      </c>
      <c r="I81" s="145">
        <f t="shared" si="27"/>
        <v>384.89080000000018</v>
      </c>
      <c r="J81" s="169">
        <f t="shared" si="27"/>
        <v>0</v>
      </c>
      <c r="K81" s="61">
        <f>IF(ISNUMBER('Entrada Prod (semanal)'!I73),'Entrada Prod (semanal)'!I73,K80)</f>
        <v>0</v>
      </c>
      <c r="L81" s="43">
        <v>68.94999999999979</v>
      </c>
      <c r="M81" s="36">
        <f>IF(H81&lt;&gt;0,SUMPRODUCT(($K$11:K81)*($X$11:X81)/H81),0)</f>
        <v>0</v>
      </c>
      <c r="N81" s="60">
        <f>IF(I81&lt;&gt;0,SUMPRODUCT(($L$11:L81)*($Y$11:Y81)/I81),0)</f>
        <v>64.678024403285235</v>
      </c>
      <c r="O81" s="61">
        <f t="shared" si="28"/>
        <v>0</v>
      </c>
      <c r="P81" s="109">
        <f t="shared" si="29"/>
        <v>49.992441113489242</v>
      </c>
      <c r="Q81" s="102">
        <f t="shared" si="36"/>
        <v>0</v>
      </c>
      <c r="R81" s="103">
        <f t="shared" si="37"/>
        <v>24.893976554999981</v>
      </c>
      <c r="S81" s="85">
        <f t="shared" si="30"/>
        <v>0</v>
      </c>
      <c r="T81" s="136">
        <f t="shared" si="31"/>
        <v>67.720000000000155</v>
      </c>
      <c r="U81" s="169">
        <f t="shared" si="32"/>
        <v>0</v>
      </c>
      <c r="V81" s="352">
        <f t="shared" si="44"/>
        <v>67.429978586722456</v>
      </c>
      <c r="W81" s="352">
        <f t="shared" si="45"/>
        <v>7.2505353319056525</v>
      </c>
      <c r="X81" s="357">
        <f t="shared" si="38"/>
        <v>0</v>
      </c>
      <c r="Y81" s="357">
        <f t="shared" si="39"/>
        <v>4.7404000000000224</v>
      </c>
      <c r="Z81" s="357" t="str">
        <f t="shared" si="33"/>
        <v/>
      </c>
      <c r="AA81" s="357" t="str">
        <f t="shared" si="34"/>
        <v/>
      </c>
      <c r="AB81" s="350">
        <f t="shared" si="43"/>
        <v>0</v>
      </c>
      <c r="AC81" s="350">
        <f t="shared" si="40"/>
        <v>100</v>
      </c>
      <c r="AD81" s="350">
        <f t="shared" si="41"/>
        <v>0</v>
      </c>
      <c r="AE81" s="357">
        <f t="shared" si="42"/>
        <v>0</v>
      </c>
    </row>
    <row r="82" spans="1:31" x14ac:dyDescent="0.25">
      <c r="A82" s="270">
        <v>86</v>
      </c>
      <c r="B82" s="48">
        <f t="array" ref="B82">IF(SUM('Entrada Prod (semanal)'!C$3:C$108)&gt;0,$Q$7-SUM('Entrada Prod (semanal)'!C$3:C74),IF(SUM('Entrada Prod (semanal)'!$D$3:D179)&gt;0,$Q$7-SUM('Entrada Prod (semanal)'!$D$3:D74)/100*$Q$7,$Q$7))</f>
        <v>0</v>
      </c>
      <c r="C82" s="36">
        <f>IF((Info!$J$5&gt;0),B82/$Q$7*100, )</f>
        <v>0</v>
      </c>
      <c r="D82" s="51">
        <v>93.300000000002512</v>
      </c>
      <c r="E82" s="85">
        <f t="array" ref="E82">IF(SUM('Entrada Prod (semanal)'!E$3:E$108)&gt;0,('Entrada Prod (semanal)'!E74)/7/B82*100,IF(SUM('Entrada Prod (semanal)'!$G$3:$G$108)&gt;0,('Entrada Prod (semanal)'!G74), ))</f>
        <v>0</v>
      </c>
      <c r="F82" s="134">
        <v>71.939978563771007</v>
      </c>
      <c r="G82" s="169">
        <f t="array" ref="G82">IF(SUM('Entrada Prod (semanal)'!F$3:F$108)&gt;0,('Entrada Prod (semanal)'!F74)/7/B82*100,IF(SUM('Entrada Prod (semanal)'!$H$3:$H$108)&gt;0,('Entrada Prod (semanal)'!H74), ))</f>
        <v>0</v>
      </c>
      <c r="H82" s="61">
        <f t="shared" si="35"/>
        <v>0</v>
      </c>
      <c r="I82" s="145">
        <f t="shared" si="27"/>
        <v>389.58920000000018</v>
      </c>
      <c r="J82" s="169">
        <f t="shared" si="27"/>
        <v>0</v>
      </c>
      <c r="K82" s="61">
        <f>IF(ISNUMBER('Entrada Prod (semanal)'!I74),'Entrada Prod (semanal)'!I74,K81)</f>
        <v>0</v>
      </c>
      <c r="L82" s="43">
        <v>68.999999999999787</v>
      </c>
      <c r="M82" s="36">
        <f>IF(H82&lt;&gt;0,SUMPRODUCT(($K$11:K82)*($X$11:X82)/H82),0)</f>
        <v>0</v>
      </c>
      <c r="N82" s="60">
        <f>IF(I82&lt;&gt;0,SUMPRODUCT(($L$11:L82)*($Y$11:Y82)/I82),0)</f>
        <v>64.730146921423824</v>
      </c>
      <c r="O82" s="61">
        <f t="shared" si="28"/>
        <v>0</v>
      </c>
      <c r="P82" s="109">
        <f t="shared" si="29"/>
        <v>49.638585209001839</v>
      </c>
      <c r="Q82" s="102">
        <f t="shared" si="36"/>
        <v>0</v>
      </c>
      <c r="R82" s="103">
        <f t="shared" si="37"/>
        <v>25.218166154999981</v>
      </c>
      <c r="S82" s="85">
        <f t="shared" si="30"/>
        <v>0</v>
      </c>
      <c r="T82" s="136">
        <f t="shared" si="31"/>
        <v>67.120000000000161</v>
      </c>
      <c r="U82" s="169">
        <f t="shared" si="32"/>
        <v>0</v>
      </c>
      <c r="V82" s="352">
        <f t="shared" si="44"/>
        <v>66.904180064307042</v>
      </c>
      <c r="W82" s="352">
        <f t="shared" si="45"/>
        <v>7.193997856377095</v>
      </c>
      <c r="X82" s="357">
        <f t="shared" si="38"/>
        <v>0</v>
      </c>
      <c r="Y82" s="357">
        <f t="shared" si="39"/>
        <v>4.6983999999999924</v>
      </c>
      <c r="Z82" s="357" t="str">
        <f t="shared" si="33"/>
        <v/>
      </c>
      <c r="AA82" s="357" t="str">
        <f t="shared" si="34"/>
        <v/>
      </c>
      <c r="AB82" s="350">
        <f t="shared" si="43"/>
        <v>0</v>
      </c>
      <c r="AC82" s="350">
        <f t="shared" si="40"/>
        <v>100</v>
      </c>
      <c r="AD82" s="350">
        <f t="shared" si="41"/>
        <v>0</v>
      </c>
      <c r="AE82" s="357">
        <f t="shared" si="42"/>
        <v>0</v>
      </c>
    </row>
    <row r="83" spans="1:31" x14ac:dyDescent="0.25">
      <c r="A83" s="270">
        <v>87</v>
      </c>
      <c r="B83" s="48">
        <f t="array" ref="B83">IF(SUM('Entrada Prod (semanal)'!C$3:C$108)&gt;0,$Q$7-SUM('Entrada Prod (semanal)'!C$3:C75),IF(SUM('Entrada Prod (semanal)'!$D$3:D180)&gt;0,$Q$7-SUM('Entrada Prod (semanal)'!$D$3:D75)/100*$Q$7,$Q$7))</f>
        <v>0</v>
      </c>
      <c r="C83" s="36">
        <f>IF((Info!$J$5&gt;0),B83/$Q$7*100, )</f>
        <v>0</v>
      </c>
      <c r="D83" s="51">
        <v>93.200000000003016</v>
      </c>
      <c r="E83" s="85">
        <f t="array" ref="E83">IF(SUM('Entrada Prod (semanal)'!E$3:E$108)&gt;0,('Entrada Prod (semanal)'!E75)/7/B83*100,IF(SUM('Entrada Prod (semanal)'!$G$3:$G$108)&gt;0,('Entrada Prod (semanal)'!G75), ))</f>
        <v>0</v>
      </c>
      <c r="F83" s="134">
        <v>71.373390557937782</v>
      </c>
      <c r="G83" s="169">
        <f t="array" ref="G83">IF(SUM('Entrada Prod (semanal)'!F$3:F$108)&gt;0,('Entrada Prod (semanal)'!F75)/7/B83*100,IF(SUM('Entrada Prod (semanal)'!$H$3:$H$108)&gt;0,('Entrada Prod (semanal)'!H75), ))</f>
        <v>0</v>
      </c>
      <c r="H83" s="61">
        <f t="shared" si="35"/>
        <v>0</v>
      </c>
      <c r="I83" s="145">
        <f t="shared" si="27"/>
        <v>394.24560000000019</v>
      </c>
      <c r="J83" s="169">
        <f t="shared" si="27"/>
        <v>0</v>
      </c>
      <c r="K83" s="61">
        <f>IF(ISNUMBER('Entrada Prod (semanal)'!I75),'Entrada Prod (semanal)'!I75,K82)</f>
        <v>0</v>
      </c>
      <c r="L83" s="43">
        <v>69.049999999999784</v>
      </c>
      <c r="M83" s="36">
        <f>IF(H83&lt;&gt;0,SUMPRODUCT(($K$11:K83)*($X$11:X83)/H83),0)</f>
        <v>0</v>
      </c>
      <c r="N83" s="60">
        <f>IF(I83&lt;&gt;0,SUMPRODUCT(($L$11:L83)*($Y$11:Y83)/I83),0)</f>
        <v>64.7811683250237</v>
      </c>
      <c r="O83" s="61">
        <f t="shared" si="28"/>
        <v>0</v>
      </c>
      <c r="P83" s="109">
        <f t="shared" si="29"/>
        <v>49.283326180255884</v>
      </c>
      <c r="Q83" s="102">
        <f t="shared" si="36"/>
        <v>0</v>
      </c>
      <c r="R83" s="103">
        <f t="shared" si="37"/>
        <v>25.53969057499998</v>
      </c>
      <c r="S83" s="85">
        <f t="shared" si="30"/>
        <v>0</v>
      </c>
      <c r="T83" s="136">
        <f t="shared" si="31"/>
        <v>66.520000000000167</v>
      </c>
      <c r="U83" s="169">
        <f t="shared" si="32"/>
        <v>0</v>
      </c>
      <c r="V83" s="352">
        <f t="shared" si="44"/>
        <v>66.377253218882132</v>
      </c>
      <c r="W83" s="352">
        <f t="shared" si="45"/>
        <v>7.1373390557937881</v>
      </c>
      <c r="X83" s="357">
        <f t="shared" si="38"/>
        <v>0</v>
      </c>
      <c r="Y83" s="357">
        <f t="shared" si="39"/>
        <v>4.6564000000000192</v>
      </c>
      <c r="Z83" s="357" t="str">
        <f t="shared" si="33"/>
        <v/>
      </c>
      <c r="AA83" s="357" t="str">
        <f t="shared" si="34"/>
        <v/>
      </c>
      <c r="AB83" s="350">
        <f t="shared" si="43"/>
        <v>0</v>
      </c>
      <c r="AC83" s="350">
        <f t="shared" si="40"/>
        <v>100</v>
      </c>
      <c r="AD83" s="350">
        <f t="shared" si="41"/>
        <v>0</v>
      </c>
      <c r="AE83" s="357">
        <f t="shared" si="42"/>
        <v>0</v>
      </c>
    </row>
    <row r="84" spans="1:31" x14ac:dyDescent="0.25">
      <c r="A84" s="271">
        <v>88</v>
      </c>
      <c r="B84" s="49">
        <f t="array" ref="B84">IF(SUM('Entrada Prod (semanal)'!C$3:C$108)&gt;0,$Q$7-SUM('Entrada Prod (semanal)'!C$3:C76),IF(SUM('Entrada Prod (semanal)'!$D$3:D181)&gt;0,$Q$7-SUM('Entrada Prod (semanal)'!$D$3:D76)/100*$Q$7,$Q$7))</f>
        <v>0</v>
      </c>
      <c r="C84" s="37">
        <f>IF((Info!$J$5&gt;0),B84/$Q$7*100, )</f>
        <v>0</v>
      </c>
      <c r="D84" s="54">
        <v>93.100000000003533</v>
      </c>
      <c r="E84" s="86">
        <f t="array" ref="E84">IF(SUM('Entrada Prod (semanal)'!E$3:E$108)&gt;0,('Entrada Prod (semanal)'!E76)/7/B84*100,IF(SUM('Entrada Prod (semanal)'!$G$3:$G$108)&gt;0,('Entrada Prod (semanal)'!G76), ))</f>
        <v>0</v>
      </c>
      <c r="F84" s="158">
        <v>70.805585392049053</v>
      </c>
      <c r="G84" s="170">
        <f t="array" ref="G84">IF(SUM('Entrada Prod (semanal)'!F$3:F$108)&gt;0,('Entrada Prod (semanal)'!F76)/7/B84*100,IF(SUM('Entrada Prod (semanal)'!$H$3:$H$108)&gt;0,('Entrada Prod (semanal)'!H76), ))</f>
        <v>0</v>
      </c>
      <c r="H84" s="62">
        <f t="shared" si="35"/>
        <v>0</v>
      </c>
      <c r="I84" s="146">
        <f t="shared" si="27"/>
        <v>398.86000000000018</v>
      </c>
      <c r="J84" s="170">
        <f t="shared" si="27"/>
        <v>0</v>
      </c>
      <c r="K84" s="62">
        <f>IF(ISNUMBER('Entrada Prod (semanal)'!I76),'Entrada Prod (semanal)'!I76,K83)</f>
        <v>0</v>
      </c>
      <c r="L84" s="44">
        <v>69.099999999999781</v>
      </c>
      <c r="M84" s="37">
        <f>IF(H84&lt;&gt;0,SUMPRODUCT(($K$11:K84)*($X$11:X84)/H84),0)</f>
        <v>0</v>
      </c>
      <c r="N84" s="63">
        <f>IF(I84&lt;&gt;0,SUMPRODUCT(($L$11:L84)*($Y$11:Y84)/I84),0)</f>
        <v>64.831132765882671</v>
      </c>
      <c r="O84" s="62">
        <f t="shared" si="28"/>
        <v>0</v>
      </c>
      <c r="P84" s="113">
        <f t="shared" si="29"/>
        <v>48.926659505905747</v>
      </c>
      <c r="Q84" s="104">
        <f t="shared" si="36"/>
        <v>0</v>
      </c>
      <c r="R84" s="105">
        <f t="shared" si="37"/>
        <v>25.858545614999979</v>
      </c>
      <c r="S84" s="86">
        <f t="shared" si="30"/>
        <v>0</v>
      </c>
      <c r="T84" s="141">
        <f t="shared" si="31"/>
        <v>65.920000000000172</v>
      </c>
      <c r="U84" s="170">
        <f t="shared" si="32"/>
        <v>0</v>
      </c>
      <c r="V84" s="352">
        <f t="shared" si="44"/>
        <v>65.84919441460562</v>
      </c>
      <c r="W84" s="352">
        <f t="shared" si="45"/>
        <v>7.0805585392049011</v>
      </c>
      <c r="X84" s="357">
        <f t="shared" si="38"/>
        <v>0</v>
      </c>
      <c r="Y84" s="357">
        <f t="shared" si="39"/>
        <v>4.6143999999999892</v>
      </c>
      <c r="Z84" s="357" t="str">
        <f t="shared" si="33"/>
        <v/>
      </c>
      <c r="AA84" s="357" t="str">
        <f t="shared" si="34"/>
        <v/>
      </c>
      <c r="AB84" s="350">
        <f t="shared" si="43"/>
        <v>0</v>
      </c>
      <c r="AC84" s="350">
        <f t="shared" si="40"/>
        <v>100</v>
      </c>
      <c r="AD84" s="350">
        <f t="shared" si="41"/>
        <v>0</v>
      </c>
      <c r="AE84" s="357">
        <f t="shared" si="42"/>
        <v>0</v>
      </c>
    </row>
    <row r="85" spans="1:31" x14ac:dyDescent="0.25">
      <c r="A85" s="270">
        <v>89</v>
      </c>
      <c r="B85" s="48">
        <f t="array" ref="B85">IF(SUM('Entrada Prod (semanal)'!C$3:C$108)&gt;0,$Q$7-SUM('Entrada Prod (semanal)'!C$3:C77),IF(SUM('Entrada Prod (semanal)'!$D$3:D182)&gt;0,$Q$7-SUM('Entrada Prod (semanal)'!$D$3:D77)/100*$Q$7,$Q$7))</f>
        <v>0</v>
      </c>
      <c r="C85" s="36">
        <f>IF((Info!$J$5&gt;0),B85/$Q$7*100, )</f>
        <v>0</v>
      </c>
      <c r="D85" s="51">
        <v>93.000000000004036</v>
      </c>
      <c r="E85" s="85">
        <f t="array" ref="E85">IF(SUM('Entrada Prod (semanal)'!E$3:E$108)&gt;0,('Entrada Prod (semanal)'!E77)/7/B85*100,IF(SUM('Entrada Prod (semanal)'!$G$3:$G$108)&gt;0,('Entrada Prod (semanal)'!G77), ))</f>
        <v>0</v>
      </c>
      <c r="F85" s="134">
        <v>70.236559139782088</v>
      </c>
      <c r="G85" s="169">
        <f t="array" ref="G85">IF(SUM('Entrada Prod (semanal)'!F$3:F$108)&gt;0,('Entrada Prod (semanal)'!F77)/7/B85*100,IF(SUM('Entrada Prod (semanal)'!$H$3:$H$108)&gt;0,('Entrada Prod (semanal)'!H77), ))</f>
        <v>0</v>
      </c>
      <c r="H85" s="61">
        <f t="shared" si="35"/>
        <v>0</v>
      </c>
      <c r="I85" s="145">
        <f t="shared" si="27"/>
        <v>403.4324000000002</v>
      </c>
      <c r="J85" s="169">
        <f t="shared" si="27"/>
        <v>0</v>
      </c>
      <c r="K85" s="61">
        <f>IF(ISNUMBER('Entrada Prod (semanal)'!I77),'Entrada Prod (semanal)'!I77,K84)</f>
        <v>0</v>
      </c>
      <c r="L85" s="43">
        <v>69.149999999999778</v>
      </c>
      <c r="M85" s="36">
        <f>IF(H85&lt;&gt;0,SUMPRODUCT(($K$11:K85)*($X$11:X85)/H85),0)</f>
        <v>0</v>
      </c>
      <c r="N85" s="60">
        <f>IF(I85&lt;&gt;0,SUMPRODUCT(($L$11:L85)*($Y$11:Y85)/I85),0)</f>
        <v>64.88008170637751</v>
      </c>
      <c r="O85" s="61">
        <f t="shared" si="28"/>
        <v>0</v>
      </c>
      <c r="P85" s="109">
        <f t="shared" si="29"/>
        <v>48.568580645159152</v>
      </c>
      <c r="Q85" s="102">
        <f t="shared" si="36"/>
        <v>0</v>
      </c>
      <c r="R85" s="103">
        <f t="shared" si="37"/>
        <v>26.174727074999979</v>
      </c>
      <c r="S85" s="85">
        <f t="shared" si="30"/>
        <v>0</v>
      </c>
      <c r="T85" s="136">
        <f t="shared" si="31"/>
        <v>65.320000000000178</v>
      </c>
      <c r="U85" s="169">
        <f t="shared" si="32"/>
        <v>0</v>
      </c>
      <c r="V85" s="352">
        <f t="shared" si="44"/>
        <v>65.319999999997336</v>
      </c>
      <c r="W85" s="352">
        <f t="shared" si="45"/>
        <v>7.0236559139782173</v>
      </c>
      <c r="X85" s="357">
        <f t="shared" si="38"/>
        <v>0</v>
      </c>
      <c r="Y85" s="357">
        <f t="shared" si="39"/>
        <v>4.572400000000016</v>
      </c>
      <c r="Z85" s="357" t="str">
        <f t="shared" si="33"/>
        <v/>
      </c>
      <c r="AA85" s="357" t="str">
        <f t="shared" si="34"/>
        <v/>
      </c>
      <c r="AB85" s="350">
        <f t="shared" si="43"/>
        <v>0</v>
      </c>
      <c r="AC85" s="350">
        <f t="shared" si="40"/>
        <v>100</v>
      </c>
      <c r="AD85" s="350">
        <f t="shared" si="41"/>
        <v>0</v>
      </c>
      <c r="AE85" s="357">
        <f t="shared" si="42"/>
        <v>0</v>
      </c>
    </row>
    <row r="86" spans="1:31" x14ac:dyDescent="0.25">
      <c r="A86" s="270">
        <v>90</v>
      </c>
      <c r="B86" s="48">
        <f t="array" ref="B86">IF(SUM('Entrada Prod (semanal)'!C$3:C$108)&gt;0,$Q$7-SUM('Entrada Prod (semanal)'!C$3:C78),IF(SUM('Entrada Prod (semanal)'!$D$3:D183)&gt;0,$Q$7-SUM('Entrada Prod (semanal)'!$D$3:D78)/100*$Q$7,$Q$7))</f>
        <v>0</v>
      </c>
      <c r="C86" s="36">
        <f>IF((Info!$J$5&gt;0),B86/$Q$7*100, )</f>
        <v>0</v>
      </c>
      <c r="D86" s="51">
        <v>92.900000000004539</v>
      </c>
      <c r="E86" s="85">
        <f t="array" ref="E86">IF(SUM('Entrada Prod (semanal)'!E$3:E$108)&gt;0,('Entrada Prod (semanal)'!E78)/7/B86*100,IF(SUM('Entrada Prod (semanal)'!$G$3:$G$108)&gt;0,('Entrada Prod (semanal)'!G78), ))</f>
        <v>0</v>
      </c>
      <c r="F86" s="134">
        <v>69.666307857908521</v>
      </c>
      <c r="G86" s="169">
        <f t="array" ref="G86">IF(SUM('Entrada Prod (semanal)'!F$3:F$108)&gt;0,('Entrada Prod (semanal)'!F78)/7/B86*100,IF(SUM('Entrada Prod (semanal)'!$H$3:$H$108)&gt;0,('Entrada Prod (semanal)'!H78), ))</f>
        <v>0</v>
      </c>
      <c r="H86" s="61">
        <f t="shared" si="35"/>
        <v>0</v>
      </c>
      <c r="I86" s="145">
        <f t="shared" si="27"/>
        <v>407.96280000000019</v>
      </c>
      <c r="J86" s="169">
        <f t="shared" si="27"/>
        <v>0</v>
      </c>
      <c r="K86" s="61">
        <f>IF(ISNUMBER('Entrada Prod (semanal)'!I78),'Entrada Prod (semanal)'!I78,K85)</f>
        <v>0</v>
      </c>
      <c r="L86" s="43">
        <v>69.199999999999775</v>
      </c>
      <c r="M86" s="36">
        <f>IF(H86&lt;&gt;0,SUMPRODUCT(($K$11:K86)*($X$11:X86)/H86),0)</f>
        <v>0</v>
      </c>
      <c r="N86" s="60">
        <f>IF(I86&lt;&gt;0,SUMPRODUCT(($L$11:L86)*($Y$11:Y86)/I86),0)</f>
        <v>64.928054114247587</v>
      </c>
      <c r="O86" s="61">
        <f t="shared" si="28"/>
        <v>0</v>
      </c>
      <c r="P86" s="109">
        <f t="shared" si="29"/>
        <v>48.209085037672537</v>
      </c>
      <c r="Q86" s="102">
        <f t="shared" si="36"/>
        <v>0</v>
      </c>
      <c r="R86" s="103">
        <f t="shared" si="37"/>
        <v>26.488230754999979</v>
      </c>
      <c r="S86" s="85">
        <f t="shared" si="30"/>
        <v>0</v>
      </c>
      <c r="T86" s="136">
        <f t="shared" si="31"/>
        <v>64.720000000000184</v>
      </c>
      <c r="U86" s="169">
        <f t="shared" si="32"/>
        <v>0</v>
      </c>
      <c r="V86" s="352">
        <f t="shared" si="44"/>
        <v>64.78966630785493</v>
      </c>
      <c r="W86" s="352">
        <f t="shared" si="45"/>
        <v>6.9666307857908407</v>
      </c>
      <c r="X86" s="357">
        <f t="shared" si="38"/>
        <v>0</v>
      </c>
      <c r="Y86" s="357">
        <f t="shared" si="39"/>
        <v>4.530399999999986</v>
      </c>
      <c r="Z86" s="357" t="str">
        <f t="shared" si="33"/>
        <v/>
      </c>
      <c r="AA86" s="357" t="str">
        <f t="shared" si="34"/>
        <v/>
      </c>
      <c r="AB86" s="350">
        <f t="shared" si="43"/>
        <v>0</v>
      </c>
      <c r="AC86" s="350">
        <f t="shared" si="40"/>
        <v>100</v>
      </c>
      <c r="AD86" s="350">
        <f t="shared" si="41"/>
        <v>0</v>
      </c>
      <c r="AE86" s="357">
        <f t="shared" si="42"/>
        <v>0</v>
      </c>
    </row>
    <row r="87" spans="1:31" x14ac:dyDescent="0.25">
      <c r="A87" s="270">
        <v>91</v>
      </c>
      <c r="B87" s="48">
        <f t="array" ref="B87">IF(SUM('Entrada Prod (semanal)'!C$3:C$108)&gt;0,$Q$7-SUM('Entrada Prod (semanal)'!C$3:C79),IF(SUM('Entrada Prod (semanal)'!$D$3:D184)&gt;0,$Q$7-SUM('Entrada Prod (semanal)'!$D$3:D79)/100*$Q$7,$Q$7))</f>
        <v>0</v>
      </c>
      <c r="C87" s="36">
        <f>IF((Info!$J$5&gt;0),B87/$Q$7*100, )</f>
        <v>0</v>
      </c>
      <c r="D87" s="51">
        <v>92.800000000005028</v>
      </c>
      <c r="E87" s="85">
        <f t="array" ref="E87">IF(SUM('Entrada Prod (semanal)'!E$3:E$108)&gt;0,('Entrada Prod (semanal)'!E79)/7/B87*100,IF(SUM('Entrada Prod (semanal)'!$G$3:$G$108)&gt;0,('Entrada Prod (semanal)'!G79), ))</f>
        <v>0</v>
      </c>
      <c r="F87" s="134">
        <v>69.094827586203351</v>
      </c>
      <c r="G87" s="169">
        <f t="array" ref="G87">IF(SUM('Entrada Prod (semanal)'!F$3:F$108)&gt;0,('Entrada Prod (semanal)'!F79)/7/B87*100,IF(SUM('Entrada Prod (semanal)'!$H$3:$H$108)&gt;0,('Entrada Prod (semanal)'!H79), ))</f>
        <v>0</v>
      </c>
      <c r="H87" s="61">
        <f t="shared" si="35"/>
        <v>0</v>
      </c>
      <c r="I87" s="145">
        <f t="shared" si="27"/>
        <v>412.4512000000002</v>
      </c>
      <c r="J87" s="169">
        <f t="shared" si="27"/>
        <v>0</v>
      </c>
      <c r="K87" s="61">
        <f>IF(ISNUMBER('Entrada Prod (semanal)'!I79),'Entrada Prod (semanal)'!I79,K86)</f>
        <v>0</v>
      </c>
      <c r="L87" s="43">
        <v>69.249999999999773</v>
      </c>
      <c r="M87" s="36">
        <f>IF(H87&lt;&gt;0,SUMPRODUCT(($K$11:K87)*($X$11:X87)/H87),0)</f>
        <v>0</v>
      </c>
      <c r="N87" s="60">
        <f>IF(I87&lt;&gt;0,SUMPRODUCT(($L$11:L87)*($Y$11:Y87)/I87),0)</f>
        <v>64.975086640552774</v>
      </c>
      <c r="O87" s="61">
        <f t="shared" si="28"/>
        <v>0</v>
      </c>
      <c r="P87" s="109">
        <f t="shared" si="29"/>
        <v>47.848168103445659</v>
      </c>
      <c r="Q87" s="102">
        <f t="shared" si="36"/>
        <v>0</v>
      </c>
      <c r="R87" s="103">
        <f t="shared" si="37"/>
        <v>26.799052454999977</v>
      </c>
      <c r="S87" s="85">
        <f t="shared" si="30"/>
        <v>0</v>
      </c>
      <c r="T87" s="136">
        <f t="shared" si="31"/>
        <v>64.120000000000175</v>
      </c>
      <c r="U87" s="169">
        <f t="shared" si="32"/>
        <v>0</v>
      </c>
      <c r="V87" s="352">
        <f t="shared" si="44"/>
        <v>64.258189655169119</v>
      </c>
      <c r="W87" s="352">
        <f t="shared" si="45"/>
        <v>6.909482758620328</v>
      </c>
      <c r="X87" s="357">
        <f t="shared" si="38"/>
        <v>0</v>
      </c>
      <c r="Y87" s="357">
        <f t="shared" si="39"/>
        <v>4.4884000000000128</v>
      </c>
      <c r="Z87" s="357" t="str">
        <f t="shared" si="33"/>
        <v/>
      </c>
      <c r="AA87" s="357" t="str">
        <f t="shared" si="34"/>
        <v/>
      </c>
      <c r="AB87" s="350">
        <f t="shared" si="43"/>
        <v>0</v>
      </c>
      <c r="AC87" s="350">
        <f t="shared" si="40"/>
        <v>100</v>
      </c>
      <c r="AD87" s="350">
        <f t="shared" si="41"/>
        <v>0</v>
      </c>
      <c r="AE87" s="357">
        <f t="shared" si="42"/>
        <v>0</v>
      </c>
    </row>
    <row r="88" spans="1:31" x14ac:dyDescent="0.25">
      <c r="A88" s="271">
        <v>92</v>
      </c>
      <c r="B88" s="49">
        <f t="array" ref="B88">IF(SUM('Entrada Prod (semanal)'!C$3:C$108)&gt;0,$Q$7-SUM('Entrada Prod (semanal)'!C$3:C80),IF(SUM('Entrada Prod (semanal)'!$D$3:D185)&gt;0,$Q$7-SUM('Entrada Prod (semanal)'!$D$3:D80)/100*$Q$7,$Q$7))</f>
        <v>0</v>
      </c>
      <c r="C88" s="37">
        <f>IF((Info!$J$5&gt;0),B88/$Q$7*100, )</f>
        <v>0</v>
      </c>
      <c r="D88" s="54">
        <v>92.700000000005545</v>
      </c>
      <c r="E88" s="86">
        <f t="array" ref="E88">IF(SUM('Entrada Prod (semanal)'!E$3:E$108)&gt;0,('Entrada Prod (semanal)'!E80)/7/B88*100,IF(SUM('Entrada Prod (semanal)'!$G$3:$G$108)&gt;0,('Entrada Prod (semanal)'!G80), ))</f>
        <v>0</v>
      </c>
      <c r="F88" s="158">
        <v>68.522114347353167</v>
      </c>
      <c r="G88" s="170">
        <f t="array" ref="G88">IF(SUM('Entrada Prod (semanal)'!F$3:F$108)&gt;0,('Entrada Prod (semanal)'!F80)/7/B88*100,IF(SUM('Entrada Prod (semanal)'!$H$3:$H$108)&gt;0,('Entrada Prod (semanal)'!H80), ))</f>
        <v>0</v>
      </c>
      <c r="H88" s="62">
        <f t="shared" si="35"/>
        <v>0</v>
      </c>
      <c r="I88" s="146">
        <f t="shared" si="27"/>
        <v>416.89760000000024</v>
      </c>
      <c r="J88" s="170">
        <f t="shared" si="27"/>
        <v>0</v>
      </c>
      <c r="K88" s="62">
        <f>IF(ISNUMBER('Entrada Prod (semanal)'!I80),'Entrada Prod (semanal)'!I80,K87)</f>
        <v>0</v>
      </c>
      <c r="L88" s="44">
        <v>69.29999999999977</v>
      </c>
      <c r="M88" s="37">
        <f>IF(H88&lt;&gt;0,SUMPRODUCT(($K$11:K88)*($X$11:X88)/H88),0)</f>
        <v>0</v>
      </c>
      <c r="N88" s="63">
        <f>IF(I88&lt;&gt;0,SUMPRODUCT(($L$11:L88)*($Y$11:Y88)/I88),0)</f>
        <v>65.021213782473097</v>
      </c>
      <c r="O88" s="62">
        <f t="shared" si="28"/>
        <v>0</v>
      </c>
      <c r="P88" s="113">
        <f t="shared" si="29"/>
        <v>47.485825242715592</v>
      </c>
      <c r="Q88" s="104">
        <f t="shared" si="36"/>
        <v>0</v>
      </c>
      <c r="R88" s="105">
        <f t="shared" si="37"/>
        <v>27.107187974999977</v>
      </c>
      <c r="S88" s="86">
        <f t="shared" si="30"/>
        <v>0</v>
      </c>
      <c r="T88" s="141">
        <f t="shared" si="31"/>
        <v>63.520000000000181</v>
      </c>
      <c r="U88" s="170">
        <f t="shared" si="32"/>
        <v>0</v>
      </c>
      <c r="V88" s="352">
        <f t="shared" si="44"/>
        <v>63.725566343038444</v>
      </c>
      <c r="W88" s="352">
        <f t="shared" si="45"/>
        <v>6.8522114347353167</v>
      </c>
      <c r="X88" s="357">
        <f t="shared" si="38"/>
        <v>0</v>
      </c>
      <c r="Y88" s="357">
        <f t="shared" si="39"/>
        <v>4.4464000000000397</v>
      </c>
      <c r="Z88" s="357" t="str">
        <f t="shared" si="33"/>
        <v/>
      </c>
      <c r="AA88" s="357" t="str">
        <f t="shared" si="34"/>
        <v/>
      </c>
      <c r="AB88" s="350">
        <f t="shared" si="43"/>
        <v>0</v>
      </c>
      <c r="AC88" s="350">
        <f t="shared" si="40"/>
        <v>100</v>
      </c>
      <c r="AD88" s="350">
        <f t="shared" si="41"/>
        <v>0</v>
      </c>
      <c r="AE88" s="357">
        <f t="shared" si="42"/>
        <v>0</v>
      </c>
    </row>
    <row r="89" spans="1:31" x14ac:dyDescent="0.25">
      <c r="A89" s="270">
        <v>93</v>
      </c>
      <c r="B89" s="48">
        <f t="array" ref="B89">IF(SUM('Entrada Prod (semanal)'!C$3:C$108)&gt;0,$Q$7-SUM('Entrada Prod (semanal)'!C$3:C81),IF(SUM('Entrada Prod (semanal)'!$D$3:D186)&gt;0,$Q$7-SUM('Entrada Prod (semanal)'!$D$3:D81)/100*$Q$7,$Q$7))</f>
        <v>0</v>
      </c>
      <c r="C89" s="36">
        <f>IF((Info!$J$5&gt;0),B89/$Q$7*100, )</f>
        <v>0</v>
      </c>
      <c r="D89" s="51">
        <v>92.600000000006048</v>
      </c>
      <c r="E89" s="85">
        <f t="array" ref="E89">IF(SUM('Entrada Prod (semanal)'!E$3:E$108)&gt;0,('Entrada Prod (semanal)'!E81)/7/B89*100,IF(SUM('Entrada Prod (semanal)'!$G$3:$G$108)&gt;0,('Entrada Prod (semanal)'!G81), ))</f>
        <v>0</v>
      </c>
      <c r="F89" s="134">
        <v>67.948164146864016</v>
      </c>
      <c r="G89" s="169">
        <f t="array" ref="G89">IF(SUM('Entrada Prod (semanal)'!F$3:F$108)&gt;0,('Entrada Prod (semanal)'!F81)/7/B89*100,IF(SUM('Entrada Prod (semanal)'!$H$3:$H$108)&gt;0,('Entrada Prod (semanal)'!H81), ))</f>
        <v>0</v>
      </c>
      <c r="H89" s="61">
        <f t="shared" si="35"/>
        <v>0</v>
      </c>
      <c r="I89" s="145">
        <f t="shared" si="27"/>
        <v>421.30200000000025</v>
      </c>
      <c r="J89" s="169">
        <f t="shared" si="27"/>
        <v>0</v>
      </c>
      <c r="K89" s="61">
        <f>IF(ISNUMBER('Entrada Prod (semanal)'!I81),'Entrada Prod (semanal)'!I81,K88)</f>
        <v>0</v>
      </c>
      <c r="L89" s="43">
        <v>69.349999999999767</v>
      </c>
      <c r="M89" s="36">
        <f>IF(H89&lt;&gt;0,SUMPRODUCT(($K$11:K89)*($X$11:X89)/H89),0)</f>
        <v>0</v>
      </c>
      <c r="N89" s="60">
        <f>IF(I89&lt;&gt;0,SUMPRODUCT(($L$11:L89)*($Y$11:Y89)/I89),0)</f>
        <v>65.066468032432695</v>
      </c>
      <c r="O89" s="61">
        <f t="shared" si="28"/>
        <v>0</v>
      </c>
      <c r="P89" s="109">
        <f t="shared" si="29"/>
        <v>47.122051835850037</v>
      </c>
      <c r="Q89" s="102">
        <f t="shared" si="36"/>
        <v>0</v>
      </c>
      <c r="R89" s="103">
        <f t="shared" si="37"/>
        <v>27.412633114999977</v>
      </c>
      <c r="S89" s="85">
        <f t="shared" si="30"/>
        <v>0</v>
      </c>
      <c r="T89" s="136">
        <f t="shared" si="31"/>
        <v>62.920000000000194</v>
      </c>
      <c r="U89" s="169">
        <f t="shared" si="32"/>
        <v>0</v>
      </c>
      <c r="V89" s="352">
        <f t="shared" si="44"/>
        <v>63.191792656583537</v>
      </c>
      <c r="W89" s="352">
        <f t="shared" si="45"/>
        <v>6.7948164146864016</v>
      </c>
      <c r="X89" s="357">
        <f t="shared" si="38"/>
        <v>0</v>
      </c>
      <c r="Y89" s="357">
        <f t="shared" si="39"/>
        <v>4.4044000000000096</v>
      </c>
      <c r="Z89" s="357" t="str">
        <f t="shared" si="33"/>
        <v/>
      </c>
      <c r="AA89" s="357" t="str">
        <f t="shared" si="34"/>
        <v/>
      </c>
      <c r="AB89" s="350">
        <f t="shared" si="43"/>
        <v>0</v>
      </c>
      <c r="AC89" s="350">
        <f t="shared" si="40"/>
        <v>100</v>
      </c>
      <c r="AD89" s="350">
        <f t="shared" si="41"/>
        <v>0</v>
      </c>
      <c r="AE89" s="357">
        <f t="shared" si="42"/>
        <v>0</v>
      </c>
    </row>
    <row r="90" spans="1:31" x14ac:dyDescent="0.25">
      <c r="A90" s="270">
        <v>94</v>
      </c>
      <c r="B90" s="48">
        <f t="array" ref="B90">IF(SUM('Entrada Prod (semanal)'!C$3:C$108)&gt;0,$Q$7-SUM('Entrada Prod (semanal)'!C$3:C82),IF(SUM('Entrada Prod (semanal)'!$D$3:D187)&gt;0,$Q$7-SUM('Entrada Prod (semanal)'!$D$3:D82)/100*$Q$7,$Q$7))</f>
        <v>0</v>
      </c>
      <c r="C90" s="36">
        <f>IF((Info!$J$5&gt;0),B90/$Q$7*100, )</f>
        <v>0</v>
      </c>
      <c r="D90" s="51">
        <v>92.500000000006551</v>
      </c>
      <c r="E90" s="85">
        <f t="array" ref="E90">IF(SUM('Entrada Prod (semanal)'!E$3:E$108)&gt;0,('Entrada Prod (semanal)'!E82)/7/B90*100,IF(SUM('Entrada Prod (semanal)'!$G$3:$G$108)&gt;0,('Entrada Prod (semanal)'!G82), ))</f>
        <v>0</v>
      </c>
      <c r="F90" s="134">
        <v>67.372972972968398</v>
      </c>
      <c r="G90" s="169">
        <f t="array" ref="G90">IF(SUM('Entrada Prod (semanal)'!F$3:F$108)&gt;0,('Entrada Prod (semanal)'!F82)/7/B90*100,IF(SUM('Entrada Prod (semanal)'!$H$3:$H$108)&gt;0,('Entrada Prod (semanal)'!H82), ))</f>
        <v>0</v>
      </c>
      <c r="H90" s="61">
        <f t="shared" si="35"/>
        <v>0</v>
      </c>
      <c r="I90" s="145">
        <f t="shared" si="27"/>
        <v>425.66440000000028</v>
      </c>
      <c r="J90" s="169">
        <f t="shared" si="27"/>
        <v>0</v>
      </c>
      <c r="K90" s="61">
        <f>IF(ISNUMBER('Entrada Prod (semanal)'!I82),'Entrada Prod (semanal)'!I82,K89)</f>
        <v>0</v>
      </c>
      <c r="L90" s="43">
        <v>69.399999999999764</v>
      </c>
      <c r="M90" s="36">
        <f>IF(H90&lt;&gt;0,SUMPRODUCT(($K$11:K90)*($X$11:X90)/H90),0)</f>
        <v>0</v>
      </c>
      <c r="N90" s="60">
        <f>IF(I90&lt;&gt;0,SUMPRODUCT(($L$11:L90)*($Y$11:Y90)/I90),0)</f>
        <v>65.110880014866098</v>
      </c>
      <c r="O90" s="61">
        <f t="shared" si="28"/>
        <v>0</v>
      </c>
      <c r="P90" s="109">
        <f t="shared" si="29"/>
        <v>46.756843243239906</v>
      </c>
      <c r="Q90" s="102">
        <f t="shared" si="36"/>
        <v>0</v>
      </c>
      <c r="R90" s="103">
        <f t="shared" si="37"/>
        <v>27.715383674999977</v>
      </c>
      <c r="S90" s="85">
        <f t="shared" si="30"/>
        <v>0</v>
      </c>
      <c r="T90" s="136">
        <f t="shared" si="31"/>
        <v>62.320000000000185</v>
      </c>
      <c r="U90" s="169">
        <f t="shared" si="32"/>
        <v>0</v>
      </c>
      <c r="V90" s="352">
        <f t="shared" si="44"/>
        <v>62.656864864860609</v>
      </c>
      <c r="W90" s="352">
        <f t="shared" si="45"/>
        <v>6.7372972972968341</v>
      </c>
      <c r="X90" s="357">
        <f t="shared" si="38"/>
        <v>0</v>
      </c>
      <c r="Y90" s="357">
        <f t="shared" si="39"/>
        <v>4.3624000000000365</v>
      </c>
      <c r="Z90" s="357" t="str">
        <f t="shared" si="33"/>
        <v/>
      </c>
      <c r="AA90" s="357" t="str">
        <f t="shared" si="34"/>
        <v/>
      </c>
      <c r="AB90" s="350">
        <f t="shared" si="43"/>
        <v>0</v>
      </c>
      <c r="AC90" s="350">
        <f t="shared" si="40"/>
        <v>100</v>
      </c>
      <c r="AD90" s="350">
        <f t="shared" si="41"/>
        <v>0</v>
      </c>
      <c r="AE90" s="357">
        <f t="shared" si="42"/>
        <v>0</v>
      </c>
    </row>
    <row r="91" spans="1:31" x14ac:dyDescent="0.25">
      <c r="A91" s="270">
        <v>95</v>
      </c>
      <c r="B91" s="48">
        <f t="array" ref="B91">IF(SUM('Entrada Prod (semanal)'!C$3:C$108)&gt;0,$Q$7-SUM('Entrada Prod (semanal)'!C$3:C83),IF(SUM('Entrada Prod (semanal)'!$D$3:D188)&gt;0,$Q$7-SUM('Entrada Prod (semanal)'!$D$3:D83)/100*$Q$7,$Q$7))</f>
        <v>0</v>
      </c>
      <c r="C91" s="36">
        <f>IF((Info!$J$5&gt;0),B91/$Q$7*100, )</f>
        <v>0</v>
      </c>
      <c r="D91" s="51">
        <v>92.400000000007054</v>
      </c>
      <c r="E91" s="85">
        <f t="array" ref="E91">IF(SUM('Entrada Prod (semanal)'!E$3:E$108)&gt;0,('Entrada Prod (semanal)'!E83)/7/B91*100,IF(SUM('Entrada Prod (semanal)'!$G$3:$G$108)&gt;0,('Entrada Prod (semanal)'!G83), ))</f>
        <v>0</v>
      </c>
      <c r="F91" s="134">
        <v>66.796536796531896</v>
      </c>
      <c r="G91" s="169">
        <f t="array" ref="G91">IF(SUM('Entrada Prod (semanal)'!F$3:F$108)&gt;0,('Entrada Prod (semanal)'!F83)/7/B91*100,IF(SUM('Entrada Prod (semanal)'!$H$3:$H$108)&gt;0,('Entrada Prod (semanal)'!H83), ))</f>
        <v>0</v>
      </c>
      <c r="H91" s="61">
        <f t="shared" si="35"/>
        <v>0</v>
      </c>
      <c r="I91" s="145">
        <f t="shared" si="27"/>
        <v>429.98480000000029</v>
      </c>
      <c r="J91" s="169">
        <f t="shared" si="27"/>
        <v>0</v>
      </c>
      <c r="K91" s="61">
        <f>IF(ISNUMBER('Entrada Prod (semanal)'!I83),'Entrada Prod (semanal)'!I83,K90)</f>
        <v>0</v>
      </c>
      <c r="L91" s="43">
        <v>69.449999999999761</v>
      </c>
      <c r="M91" s="36">
        <f>IF(H91&lt;&gt;0,SUMPRODUCT(($K$11:K91)*($X$11:X91)/H91),0)</f>
        <v>0</v>
      </c>
      <c r="N91" s="60">
        <f>IF(I91&lt;&gt;0,SUMPRODUCT(($L$11:L91)*($Y$11:Y91)/I91),0)</f>
        <v>65.15447861180202</v>
      </c>
      <c r="O91" s="61">
        <f t="shared" si="28"/>
        <v>0</v>
      </c>
      <c r="P91" s="109">
        <f t="shared" si="29"/>
        <v>46.390194805191243</v>
      </c>
      <c r="Q91" s="102">
        <f t="shared" si="36"/>
        <v>0</v>
      </c>
      <c r="R91" s="103">
        <f t="shared" si="37"/>
        <v>28.015435454999977</v>
      </c>
      <c r="S91" s="85">
        <f t="shared" si="30"/>
        <v>0</v>
      </c>
      <c r="T91" s="136">
        <f t="shared" si="31"/>
        <v>61.720000000000184</v>
      </c>
      <c r="U91" s="169">
        <f t="shared" si="32"/>
        <v>0</v>
      </c>
      <c r="V91" s="352">
        <f t="shared" si="44"/>
        <v>62.120779220774665</v>
      </c>
      <c r="W91" s="352">
        <f t="shared" si="45"/>
        <v>6.6796536796531853</v>
      </c>
      <c r="X91" s="357">
        <f t="shared" si="38"/>
        <v>0</v>
      </c>
      <c r="Y91" s="357">
        <f t="shared" si="39"/>
        <v>4.3204000000000065</v>
      </c>
      <c r="Z91" s="357" t="str">
        <f t="shared" si="33"/>
        <v/>
      </c>
      <c r="AA91" s="357" t="str">
        <f t="shared" si="34"/>
        <v/>
      </c>
      <c r="AB91" s="350">
        <f t="shared" si="43"/>
        <v>0</v>
      </c>
      <c r="AC91" s="350">
        <f t="shared" si="40"/>
        <v>100</v>
      </c>
      <c r="AD91" s="350">
        <f t="shared" si="41"/>
        <v>0</v>
      </c>
      <c r="AE91" s="357">
        <f t="shared" si="42"/>
        <v>0</v>
      </c>
    </row>
    <row r="92" spans="1:31" x14ac:dyDescent="0.25">
      <c r="A92" s="271">
        <v>96</v>
      </c>
      <c r="B92" s="49">
        <f t="array" ref="B92">IF(SUM('Entrada Prod (semanal)'!C$3:C$108)&gt;0,$Q$7-SUM('Entrada Prod (semanal)'!C$3:C84),IF(SUM('Entrada Prod (semanal)'!$D$3:D189)&gt;0,$Q$7-SUM('Entrada Prod (semanal)'!$D$3:D84)/100*$Q$7,$Q$7))</f>
        <v>0</v>
      </c>
      <c r="C92" s="37">
        <f>IF((Info!$J$5&gt;0),B92/$Q$7*100, )</f>
        <v>0</v>
      </c>
      <c r="D92" s="54"/>
      <c r="E92" s="86">
        <f t="array" ref="E92">IF(SUM('Entrada Prod (semanal)'!E$3:E$108)&gt;0,('Entrada Prod (semanal)'!E84)/7/B92*100,IF(SUM('Entrada Prod (semanal)'!$G$3:$G$108)&gt;0,('Entrada Prod (semanal)'!G84), ))</f>
        <v>0</v>
      </c>
      <c r="F92" s="158"/>
      <c r="G92" s="170">
        <f t="array" ref="G92">IF(SUM('Entrada Prod (semanal)'!F$3:F$108)&gt;0,('Entrada Prod (semanal)'!F84)/7/B92*100,IF(SUM('Entrada Prod (semanal)'!$H$3:$H$108)&gt;0,('Entrada Prod (semanal)'!H84), ))</f>
        <v>0</v>
      </c>
      <c r="H92" s="62">
        <f t="shared" si="35"/>
        <v>0</v>
      </c>
      <c r="I92" s="146">
        <f t="shared" si="27"/>
        <v>0</v>
      </c>
      <c r="J92" s="170">
        <f t="shared" si="27"/>
        <v>0</v>
      </c>
      <c r="K92" s="62">
        <f>IF(ISNUMBER('Entrada Prod (semanal)'!I84),'Entrada Prod (semanal)'!I84,K91)</f>
        <v>0</v>
      </c>
      <c r="L92" s="44"/>
      <c r="M92" s="37">
        <f>IF(H92&lt;&gt;0,SUMPRODUCT(($K$11:K92)*($X$11:X92)/H92),0)</f>
        <v>0</v>
      </c>
      <c r="N92" s="63">
        <f>IF(I92&lt;&gt;0,SUMPRODUCT(($L$11:L92)*($Y$11:Y92)/I92),0)</f>
        <v>0</v>
      </c>
      <c r="O92" s="62">
        <f t="shared" si="28"/>
        <v>0</v>
      </c>
      <c r="P92" s="113">
        <f t="shared" si="29"/>
        <v>0</v>
      </c>
      <c r="Q92" s="104">
        <f t="shared" si="36"/>
        <v>0</v>
      </c>
      <c r="R92" s="105">
        <f t="shared" si="37"/>
        <v>28.015435454999977</v>
      </c>
      <c r="S92" s="86">
        <f t="shared" si="30"/>
        <v>0</v>
      </c>
      <c r="T92" s="141" t="str">
        <f t="shared" si="31"/>
        <v/>
      </c>
      <c r="U92" s="170">
        <f t="shared" si="32"/>
        <v>0</v>
      </c>
      <c r="V92" s="352">
        <f t="shared" si="44"/>
        <v>0</v>
      </c>
      <c r="W92" s="352">
        <f t="shared" si="45"/>
        <v>0</v>
      </c>
      <c r="X92" s="357">
        <f t="shared" si="38"/>
        <v>0</v>
      </c>
      <c r="Y92" s="357">
        <f t="shared" si="39"/>
        <v>-429.98480000000029</v>
      </c>
      <c r="Z92" s="357" t="str">
        <f t="shared" si="33"/>
        <v/>
      </c>
      <c r="AA92" s="357" t="str">
        <f t="shared" si="34"/>
        <v/>
      </c>
      <c r="AB92" s="350">
        <f t="shared" si="43"/>
        <v>0</v>
      </c>
      <c r="AC92" s="350">
        <f t="shared" si="40"/>
        <v>100</v>
      </c>
      <c r="AD92" s="350">
        <f t="shared" si="41"/>
        <v>0</v>
      </c>
      <c r="AE92" s="357">
        <f t="shared" si="42"/>
        <v>0</v>
      </c>
    </row>
    <row r="93" spans="1:31" x14ac:dyDescent="0.25">
      <c r="A93" s="270">
        <v>97</v>
      </c>
      <c r="B93" s="48">
        <f t="array" ref="B93">IF(SUM('Entrada Prod (semanal)'!C$3:C$108)&gt;0,$Q$7-SUM('Entrada Prod (semanal)'!C$3:C85),IF(SUM('Entrada Prod (semanal)'!$D$3:D190)&gt;0,$Q$7-SUM('Entrada Prod (semanal)'!$D$3:D85)/100*$Q$7,$Q$7))</f>
        <v>0</v>
      </c>
      <c r="C93" s="36">
        <f>IF((Info!$J$5&gt;0),B93/$Q$7*100, )</f>
        <v>0</v>
      </c>
      <c r="D93" s="51"/>
      <c r="E93" s="85">
        <f t="array" ref="E93">IF(SUM('Entrada Prod (semanal)'!E$3:E$108)&gt;0,('Entrada Prod (semanal)'!E85)/7/B93*100,IF(SUM('Entrada Prod (semanal)'!$G$3:$G$108)&gt;0,('Entrada Prod (semanal)'!G85), ))</f>
        <v>0</v>
      </c>
      <c r="F93" s="134"/>
      <c r="G93" s="169">
        <f t="array" ref="G93">IF(SUM('Entrada Prod (semanal)'!F$3:F$108)&gt;0,('Entrada Prod (semanal)'!F85)/7/B93*100,IF(SUM('Entrada Prod (semanal)'!$H$3:$H$108)&gt;0,('Entrada Prod (semanal)'!H85), ))</f>
        <v>0</v>
      </c>
      <c r="H93" s="61">
        <f t="shared" ref="H93:H108" si="46">7*S93/100+H92</f>
        <v>0</v>
      </c>
      <c r="I93" s="145">
        <f t="shared" si="27"/>
        <v>0</v>
      </c>
      <c r="J93" s="169">
        <f t="shared" si="27"/>
        <v>0</v>
      </c>
      <c r="K93" s="61">
        <f>IF(ISNUMBER('Entrada Prod (semanal)'!I85),'Entrada Prod (semanal)'!I85,K92)</f>
        <v>0</v>
      </c>
      <c r="L93" s="43"/>
      <c r="M93" s="36">
        <f>IF(H93&lt;&gt;0,SUMPRODUCT(($K$11:K93)*($X$11:X93)/H93),0)</f>
        <v>0</v>
      </c>
      <c r="N93" s="60">
        <f>IF(I93&lt;&gt;0,SUMPRODUCT(($L$11:L93)*($Y$11:Y93)/I93),0)</f>
        <v>0</v>
      </c>
      <c r="O93" s="61">
        <f t="shared" si="28"/>
        <v>0</v>
      </c>
      <c r="P93" s="109">
        <f t="shared" si="29"/>
        <v>0</v>
      </c>
      <c r="Q93" s="102">
        <f t="shared" si="36"/>
        <v>0</v>
      </c>
      <c r="R93" s="103">
        <f t="shared" si="37"/>
        <v>28.015435454999977</v>
      </c>
      <c r="S93" s="85">
        <f t="shared" si="30"/>
        <v>0</v>
      </c>
      <c r="T93" s="136" t="str">
        <f t="shared" si="31"/>
        <v/>
      </c>
      <c r="U93" s="169">
        <f t="shared" si="32"/>
        <v>0</v>
      </c>
      <c r="V93" s="352">
        <f t="shared" si="44"/>
        <v>0</v>
      </c>
      <c r="W93" s="352">
        <f t="shared" si="45"/>
        <v>0</v>
      </c>
      <c r="X93" s="357">
        <f t="shared" si="38"/>
        <v>0</v>
      </c>
      <c r="Y93" s="357">
        <f t="shared" si="39"/>
        <v>0</v>
      </c>
      <c r="Z93" s="357" t="str">
        <f t="shared" si="33"/>
        <v/>
      </c>
      <c r="AA93" s="357" t="str">
        <f t="shared" si="34"/>
        <v/>
      </c>
      <c r="AB93" s="350">
        <f t="shared" si="43"/>
        <v>0</v>
      </c>
      <c r="AC93" s="350">
        <f t="shared" si="40"/>
        <v>100</v>
      </c>
      <c r="AD93" s="350">
        <f t="shared" si="41"/>
        <v>0</v>
      </c>
      <c r="AE93" s="357">
        <f t="shared" si="42"/>
        <v>0</v>
      </c>
    </row>
    <row r="94" spans="1:31" x14ac:dyDescent="0.25">
      <c r="A94" s="270">
        <v>98</v>
      </c>
      <c r="B94" s="48">
        <f t="array" ref="B94">IF(SUM('Entrada Prod (semanal)'!C$3:C$108)&gt;0,$Q$7-SUM('Entrada Prod (semanal)'!C$3:C86),IF(SUM('Entrada Prod (semanal)'!$D$3:D191)&gt;0,$Q$7-SUM('Entrada Prod (semanal)'!$D$3:D86)/100*$Q$7,$Q$7))</f>
        <v>0</v>
      </c>
      <c r="C94" s="36">
        <f>IF((Info!$J$5&gt;0),B94/$Q$7*100, )</f>
        <v>0</v>
      </c>
      <c r="D94" s="51"/>
      <c r="E94" s="85">
        <f t="array" ref="E94">IF(SUM('Entrada Prod (semanal)'!E$3:E$108)&gt;0,('Entrada Prod (semanal)'!E86)/7/B94*100,IF(SUM('Entrada Prod (semanal)'!$G$3:$G$108)&gt;0,('Entrada Prod (semanal)'!G86), ))</f>
        <v>0</v>
      </c>
      <c r="F94" s="134"/>
      <c r="G94" s="169">
        <f t="array" ref="G94">IF(SUM('Entrada Prod (semanal)'!F$3:F$108)&gt;0,('Entrada Prod (semanal)'!F86)/7/B94*100,IF(SUM('Entrada Prod (semanal)'!$H$3:$H$108)&gt;0,('Entrada Prod (semanal)'!H86), ))</f>
        <v>0</v>
      </c>
      <c r="H94" s="61">
        <f t="shared" si="46"/>
        <v>0</v>
      </c>
      <c r="I94" s="145">
        <f t="shared" si="27"/>
        <v>0</v>
      </c>
      <c r="J94" s="169">
        <f t="shared" si="27"/>
        <v>0</v>
      </c>
      <c r="K94" s="61">
        <f>IF(ISNUMBER('Entrada Prod (semanal)'!I86),'Entrada Prod (semanal)'!I86,K93)</f>
        <v>0</v>
      </c>
      <c r="L94" s="43"/>
      <c r="M94" s="36">
        <f>IF(H94&lt;&gt;0,SUMPRODUCT(($K$11:K94)*($X$11:X94)/H94),0)</f>
        <v>0</v>
      </c>
      <c r="N94" s="60">
        <f>IF(I94&lt;&gt;0,SUMPRODUCT(($L$11:L94)*($Y$11:Y94)/I94),0)</f>
        <v>0</v>
      </c>
      <c r="O94" s="61">
        <f t="shared" si="28"/>
        <v>0</v>
      </c>
      <c r="P94" s="109">
        <f t="shared" si="29"/>
        <v>0</v>
      </c>
      <c r="Q94" s="102">
        <f t="shared" si="36"/>
        <v>0</v>
      </c>
      <c r="R94" s="103">
        <f t="shared" si="37"/>
        <v>28.015435454999977</v>
      </c>
      <c r="S94" s="85">
        <f t="shared" si="30"/>
        <v>0</v>
      </c>
      <c r="T94" s="136" t="str">
        <f t="shared" si="31"/>
        <v/>
      </c>
      <c r="U94" s="169">
        <f t="shared" si="32"/>
        <v>0</v>
      </c>
      <c r="V94" s="352">
        <f t="shared" si="44"/>
        <v>0</v>
      </c>
      <c r="W94" s="352">
        <f t="shared" si="45"/>
        <v>0</v>
      </c>
      <c r="X94" s="357">
        <f t="shared" si="38"/>
        <v>0</v>
      </c>
      <c r="Y94" s="357">
        <f t="shared" si="39"/>
        <v>0</v>
      </c>
      <c r="Z94" s="357" t="str">
        <f t="shared" si="33"/>
        <v/>
      </c>
      <c r="AA94" s="357" t="str">
        <f t="shared" si="34"/>
        <v/>
      </c>
      <c r="AB94" s="350">
        <f t="shared" si="43"/>
        <v>0</v>
      </c>
      <c r="AC94" s="350">
        <f t="shared" si="40"/>
        <v>100</v>
      </c>
      <c r="AD94" s="350">
        <f t="shared" si="41"/>
        <v>0</v>
      </c>
      <c r="AE94" s="357">
        <f t="shared" si="42"/>
        <v>0</v>
      </c>
    </row>
    <row r="95" spans="1:31" x14ac:dyDescent="0.25">
      <c r="A95" s="270">
        <v>99</v>
      </c>
      <c r="B95" s="48">
        <f t="array" ref="B95">IF(SUM('Entrada Prod (semanal)'!C$3:C$108)&gt;0,$Q$7-SUM('Entrada Prod (semanal)'!C$3:C87),IF(SUM('Entrada Prod (semanal)'!$D$3:D192)&gt;0,$Q$7-SUM('Entrada Prod (semanal)'!$D$3:D87)/100*$Q$7,$Q$7))</f>
        <v>0</v>
      </c>
      <c r="C95" s="36">
        <f>IF((Info!$J$5&gt;0),B95/$Q$7*100, )</f>
        <v>0</v>
      </c>
      <c r="D95" s="51"/>
      <c r="E95" s="85">
        <f t="array" ref="E95">IF(SUM('Entrada Prod (semanal)'!E$3:E$108)&gt;0,('Entrada Prod (semanal)'!E87)/7/B95*100,IF(SUM('Entrada Prod (semanal)'!$G$3:$G$108)&gt;0,('Entrada Prod (semanal)'!G87), ))</f>
        <v>0</v>
      </c>
      <c r="F95" s="134"/>
      <c r="G95" s="169">
        <f t="array" ref="G95">IF(SUM('Entrada Prod (semanal)'!F$3:F$108)&gt;0,('Entrada Prod (semanal)'!F87)/7/B95*100,IF(SUM('Entrada Prod (semanal)'!$H$3:$H$108)&gt;0,('Entrada Prod (semanal)'!H87), ))</f>
        <v>0</v>
      </c>
      <c r="H95" s="61">
        <f t="shared" si="46"/>
        <v>0</v>
      </c>
      <c r="I95" s="145">
        <f t="shared" si="27"/>
        <v>0</v>
      </c>
      <c r="J95" s="169">
        <f t="shared" si="27"/>
        <v>0</v>
      </c>
      <c r="K95" s="61">
        <f>IF(ISNUMBER('Entrada Prod (semanal)'!I87),'Entrada Prod (semanal)'!I87,K94)</f>
        <v>0</v>
      </c>
      <c r="L95" s="43"/>
      <c r="M95" s="36">
        <f>IF(H95&lt;&gt;0,SUMPRODUCT(($K$11:K95)*($X$11:X95)/H95),0)</f>
        <v>0</v>
      </c>
      <c r="N95" s="60">
        <f>IF(I95&lt;&gt;0,SUMPRODUCT(($L$11:L95)*($Y$11:Y95)/I95),0)</f>
        <v>0</v>
      </c>
      <c r="O95" s="61">
        <f t="shared" si="28"/>
        <v>0</v>
      </c>
      <c r="P95" s="109">
        <f t="shared" si="29"/>
        <v>0</v>
      </c>
      <c r="Q95" s="102">
        <f t="shared" si="36"/>
        <v>0</v>
      </c>
      <c r="R95" s="103">
        <f t="shared" si="37"/>
        <v>28.015435454999977</v>
      </c>
      <c r="S95" s="85">
        <f t="shared" si="30"/>
        <v>0</v>
      </c>
      <c r="T95" s="136" t="str">
        <f t="shared" si="31"/>
        <v/>
      </c>
      <c r="U95" s="169">
        <f t="shared" si="32"/>
        <v>0</v>
      </c>
      <c r="V95" s="352">
        <f t="shared" si="44"/>
        <v>0</v>
      </c>
      <c r="W95" s="352">
        <f t="shared" si="45"/>
        <v>0</v>
      </c>
      <c r="X95" s="357">
        <f t="shared" si="38"/>
        <v>0</v>
      </c>
      <c r="Y95" s="357">
        <f t="shared" si="39"/>
        <v>0</v>
      </c>
      <c r="Z95" s="357" t="str">
        <f t="shared" si="33"/>
        <v/>
      </c>
      <c r="AA95" s="357" t="str">
        <f t="shared" si="34"/>
        <v/>
      </c>
      <c r="AB95" s="350">
        <f t="shared" si="43"/>
        <v>0</v>
      </c>
      <c r="AC95" s="350">
        <f t="shared" si="40"/>
        <v>100</v>
      </c>
      <c r="AD95" s="350">
        <f t="shared" si="41"/>
        <v>0</v>
      </c>
      <c r="AE95" s="357">
        <f t="shared" si="42"/>
        <v>0</v>
      </c>
    </row>
    <row r="96" spans="1:31" x14ac:dyDescent="0.25">
      <c r="A96" s="271">
        <v>100</v>
      </c>
      <c r="B96" s="49">
        <f t="array" ref="B96">IF(SUM('Entrada Prod (semanal)'!C$3:C$108)&gt;0,$Q$7-SUM('Entrada Prod (semanal)'!C$3:C88),IF(SUM('Entrada Prod (semanal)'!$D$3:D193)&gt;0,$Q$7-SUM('Entrada Prod (semanal)'!$D$3:D88)/100*$Q$7,$Q$7))</f>
        <v>0</v>
      </c>
      <c r="C96" s="37">
        <f>IF((Info!$J$5&gt;0),B96/$Q$7*100, )</f>
        <v>0</v>
      </c>
      <c r="D96" s="54"/>
      <c r="E96" s="86">
        <f t="array" ref="E96">IF(SUM('Entrada Prod (semanal)'!E$3:E$108)&gt;0,('Entrada Prod (semanal)'!E88)/7/B96*100,IF(SUM('Entrada Prod (semanal)'!$G$3:$G$108)&gt;0,('Entrada Prod (semanal)'!G88), ))</f>
        <v>0</v>
      </c>
      <c r="F96" s="158"/>
      <c r="G96" s="170">
        <f t="array" ref="G96">IF(SUM('Entrada Prod (semanal)'!F$3:F$108)&gt;0,('Entrada Prod (semanal)'!F88)/7/B96*100,IF(SUM('Entrada Prod (semanal)'!$H$3:$H$108)&gt;0,('Entrada Prod (semanal)'!H88), ))</f>
        <v>0</v>
      </c>
      <c r="H96" s="62">
        <f t="shared" si="46"/>
        <v>0</v>
      </c>
      <c r="I96" s="146">
        <f t="shared" si="27"/>
        <v>0</v>
      </c>
      <c r="J96" s="170">
        <f t="shared" si="27"/>
        <v>0</v>
      </c>
      <c r="K96" s="62">
        <f>IF(ISNUMBER('Entrada Prod (semanal)'!I88),'Entrada Prod (semanal)'!I88,K95)</f>
        <v>0</v>
      </c>
      <c r="L96" s="44"/>
      <c r="M96" s="37">
        <f>IF(H96&lt;&gt;0,SUMPRODUCT(($K$11:K96)*($X$11:X96)/H96),0)</f>
        <v>0</v>
      </c>
      <c r="N96" s="63">
        <f>IF(I96&lt;&gt;0,SUMPRODUCT(($L$11:L96)*($Y$11:Y96)/I96),0)</f>
        <v>0</v>
      </c>
      <c r="O96" s="62">
        <f t="shared" si="28"/>
        <v>0</v>
      </c>
      <c r="P96" s="113">
        <f t="shared" si="29"/>
        <v>0</v>
      </c>
      <c r="Q96" s="104">
        <f t="shared" si="36"/>
        <v>0</v>
      </c>
      <c r="R96" s="105">
        <f t="shared" si="37"/>
        <v>28.015435454999977</v>
      </c>
      <c r="S96" s="86">
        <f t="shared" si="30"/>
        <v>0</v>
      </c>
      <c r="T96" s="141" t="str">
        <f t="shared" si="31"/>
        <v/>
      </c>
      <c r="U96" s="170">
        <f t="shared" si="32"/>
        <v>0</v>
      </c>
      <c r="V96" s="352">
        <f t="shared" si="44"/>
        <v>0</v>
      </c>
      <c r="W96" s="352">
        <f t="shared" si="45"/>
        <v>0</v>
      </c>
      <c r="X96" s="357">
        <f t="shared" si="38"/>
        <v>0</v>
      </c>
      <c r="Y96" s="357">
        <f t="shared" si="39"/>
        <v>0</v>
      </c>
      <c r="Z96" s="357" t="str">
        <f t="shared" si="33"/>
        <v/>
      </c>
      <c r="AA96" s="357" t="str">
        <f t="shared" si="34"/>
        <v/>
      </c>
      <c r="AB96" s="350">
        <f t="shared" si="43"/>
        <v>0</v>
      </c>
      <c r="AC96" s="350">
        <f t="shared" si="40"/>
        <v>100</v>
      </c>
      <c r="AD96" s="350">
        <f t="shared" si="41"/>
        <v>0</v>
      </c>
      <c r="AE96" s="357">
        <f t="shared" si="42"/>
        <v>0</v>
      </c>
    </row>
    <row r="97" spans="1:31" x14ac:dyDescent="0.25">
      <c r="A97" s="270">
        <v>101</v>
      </c>
      <c r="B97" s="48">
        <f t="array" ref="B97">IF(SUM('Entrada Prod (semanal)'!C$3:C$108)&gt;0,$Q$7-SUM('Entrada Prod (semanal)'!C$3:C89),IF(SUM('Entrada Prod (semanal)'!$D$3:D194)&gt;0,$Q$7-SUM('Entrada Prod (semanal)'!$D$3:D89)/100*$Q$7,$Q$7))</f>
        <v>0</v>
      </c>
      <c r="C97" s="36">
        <f>IF((Info!$J$5&gt;0),B97/$Q$7*100, )</f>
        <v>0</v>
      </c>
      <c r="D97" s="51"/>
      <c r="E97" s="85">
        <f t="array" ref="E97">IF(SUM('Entrada Prod (semanal)'!E$3:E$108)&gt;0,('Entrada Prod (semanal)'!E89)/7/B97*100,IF(SUM('Entrada Prod (semanal)'!$G$3:$G$108)&gt;0,('Entrada Prod (semanal)'!G89), ))</f>
        <v>0</v>
      </c>
      <c r="F97" s="134"/>
      <c r="G97" s="169">
        <f t="array" ref="G97">IF(SUM('Entrada Prod (semanal)'!F$3:F$108)&gt;0,('Entrada Prod (semanal)'!F89)/7/B97*100,IF(SUM('Entrada Prod (semanal)'!$H$3:$H$108)&gt;0,('Entrada Prod (semanal)'!H89), ))</f>
        <v>0</v>
      </c>
      <c r="H97" s="61">
        <f t="shared" si="46"/>
        <v>0</v>
      </c>
      <c r="I97" s="145">
        <f t="shared" si="27"/>
        <v>0</v>
      </c>
      <c r="J97" s="169">
        <f t="shared" si="27"/>
        <v>0</v>
      </c>
      <c r="K97" s="61">
        <f>IF(ISNUMBER('Entrada Prod (semanal)'!I89),'Entrada Prod (semanal)'!I89,K96)</f>
        <v>0</v>
      </c>
      <c r="L97" s="43"/>
      <c r="M97" s="36">
        <f>IF(H97&lt;&gt;0,SUMPRODUCT(($K$11:K97)*($X$11:X97)/H97),0)</f>
        <v>0</v>
      </c>
      <c r="N97" s="60">
        <f>IF(I97&lt;&gt;0,SUMPRODUCT(($L$11:L97)*($Y$11:Y97)/I97),0)</f>
        <v>0</v>
      </c>
      <c r="O97" s="61">
        <f t="shared" si="28"/>
        <v>0</v>
      </c>
      <c r="P97" s="109">
        <f t="shared" si="29"/>
        <v>0</v>
      </c>
      <c r="Q97" s="102">
        <f t="shared" si="36"/>
        <v>0</v>
      </c>
      <c r="R97" s="103">
        <f t="shared" si="37"/>
        <v>28.015435454999977</v>
      </c>
      <c r="S97" s="85">
        <f t="shared" si="30"/>
        <v>0</v>
      </c>
      <c r="T97" s="136" t="str">
        <f t="shared" si="31"/>
        <v/>
      </c>
      <c r="U97" s="169">
        <f t="shared" si="32"/>
        <v>0</v>
      </c>
      <c r="V97" s="352">
        <f t="shared" si="44"/>
        <v>0</v>
      </c>
      <c r="W97" s="352">
        <f t="shared" si="45"/>
        <v>0</v>
      </c>
      <c r="X97" s="357">
        <f t="shared" si="38"/>
        <v>0</v>
      </c>
      <c r="Y97" s="357">
        <f t="shared" si="39"/>
        <v>0</v>
      </c>
      <c r="Z97" s="357" t="str">
        <f t="shared" si="33"/>
        <v/>
      </c>
      <c r="AA97" s="357" t="str">
        <f t="shared" si="34"/>
        <v/>
      </c>
      <c r="AB97" s="350">
        <f t="shared" si="43"/>
        <v>0</v>
      </c>
      <c r="AC97" s="350">
        <f t="shared" si="40"/>
        <v>100</v>
      </c>
      <c r="AD97" s="350">
        <f t="shared" si="41"/>
        <v>0</v>
      </c>
      <c r="AE97" s="357">
        <f t="shared" si="42"/>
        <v>0</v>
      </c>
    </row>
    <row r="98" spans="1:31" x14ac:dyDescent="0.25">
      <c r="A98" s="270">
        <v>102</v>
      </c>
      <c r="B98" s="48">
        <f t="array" ref="B98">IF(SUM('Entrada Prod (semanal)'!C$3:C$108)&gt;0,$Q$7-SUM('Entrada Prod (semanal)'!C$3:C90),IF(SUM('Entrada Prod (semanal)'!$D$3:D195)&gt;0,$Q$7-SUM('Entrada Prod (semanal)'!$D$3:D90)/100*$Q$7,$Q$7))</f>
        <v>0</v>
      </c>
      <c r="C98" s="36">
        <f>IF((Info!$J$5&gt;0),B98/$Q$7*100, )</f>
        <v>0</v>
      </c>
      <c r="D98" s="51"/>
      <c r="E98" s="85">
        <f t="array" ref="E98">IF(SUM('Entrada Prod (semanal)'!E$3:E$108)&gt;0,('Entrada Prod (semanal)'!E90)/7/B98*100,IF(SUM('Entrada Prod (semanal)'!$G$3:$G$108)&gt;0,('Entrada Prod (semanal)'!G90), ))</f>
        <v>0</v>
      </c>
      <c r="F98" s="134"/>
      <c r="G98" s="169">
        <f t="array" ref="G98">IF(SUM('Entrada Prod (semanal)'!F$3:F$108)&gt;0,('Entrada Prod (semanal)'!F90)/7/B98*100,IF(SUM('Entrada Prod (semanal)'!$H$3:$H$108)&gt;0,('Entrada Prod (semanal)'!H90), ))</f>
        <v>0</v>
      </c>
      <c r="H98" s="61">
        <f t="shared" si="46"/>
        <v>0</v>
      </c>
      <c r="I98" s="145">
        <f t="shared" si="27"/>
        <v>0</v>
      </c>
      <c r="J98" s="169">
        <f t="shared" si="27"/>
        <v>0</v>
      </c>
      <c r="K98" s="61">
        <f>IF(ISNUMBER('Entrada Prod (semanal)'!I90),'Entrada Prod (semanal)'!I90,K97)</f>
        <v>0</v>
      </c>
      <c r="L98" s="43"/>
      <c r="M98" s="36">
        <f>IF(H98&lt;&gt;0,SUMPRODUCT(($K$11:K98)*($X$11:X98)/H98),0)</f>
        <v>0</v>
      </c>
      <c r="N98" s="60">
        <f>IF(I98&lt;&gt;0,SUMPRODUCT(($L$11:L98)*($Y$11:Y98)/I98),0)</f>
        <v>0</v>
      </c>
      <c r="O98" s="61">
        <f t="shared" si="28"/>
        <v>0</v>
      </c>
      <c r="P98" s="109">
        <f t="shared" si="29"/>
        <v>0</v>
      </c>
      <c r="Q98" s="102">
        <f t="shared" si="36"/>
        <v>0</v>
      </c>
      <c r="R98" s="103">
        <f t="shared" si="37"/>
        <v>28.015435454999977</v>
      </c>
      <c r="S98" s="85">
        <f t="shared" si="30"/>
        <v>0</v>
      </c>
      <c r="T98" s="136" t="str">
        <f t="shared" si="31"/>
        <v/>
      </c>
      <c r="U98" s="169">
        <f t="shared" si="32"/>
        <v>0</v>
      </c>
      <c r="V98" s="352">
        <f t="shared" si="44"/>
        <v>0</v>
      </c>
      <c r="W98" s="352">
        <f t="shared" si="45"/>
        <v>0</v>
      </c>
      <c r="X98" s="357">
        <f t="shared" si="38"/>
        <v>0</v>
      </c>
      <c r="Y98" s="357">
        <f t="shared" si="39"/>
        <v>0</v>
      </c>
      <c r="Z98" s="357" t="str">
        <f t="shared" si="33"/>
        <v/>
      </c>
      <c r="AA98" s="357" t="str">
        <f t="shared" si="34"/>
        <v/>
      </c>
      <c r="AB98" s="350">
        <f t="shared" si="43"/>
        <v>0</v>
      </c>
      <c r="AC98" s="350">
        <f t="shared" si="40"/>
        <v>100</v>
      </c>
      <c r="AD98" s="350">
        <f t="shared" si="41"/>
        <v>0</v>
      </c>
      <c r="AE98" s="357">
        <f t="shared" si="42"/>
        <v>0</v>
      </c>
    </row>
    <row r="99" spans="1:31" x14ac:dyDescent="0.25">
      <c r="A99" s="270">
        <v>103</v>
      </c>
      <c r="B99" s="48">
        <f t="array" ref="B99">IF(SUM('Entrada Prod (semanal)'!C$3:C$108)&gt;0,$Q$7-SUM('Entrada Prod (semanal)'!C$3:C91),IF(SUM('Entrada Prod (semanal)'!$D$3:D196)&gt;0,$Q$7-SUM('Entrada Prod (semanal)'!$D$3:D91)/100*$Q$7,$Q$7))</f>
        <v>0</v>
      </c>
      <c r="C99" s="36">
        <f>IF((Info!$J$5&gt;0),B99/$Q$7*100, )</f>
        <v>0</v>
      </c>
      <c r="D99" s="51"/>
      <c r="E99" s="85">
        <f t="array" ref="E99">IF(SUM('Entrada Prod (semanal)'!E$3:E$108)&gt;0,('Entrada Prod (semanal)'!E91)/7/B99*100,IF(SUM('Entrada Prod (semanal)'!$G$3:$G$108)&gt;0,('Entrada Prod (semanal)'!G91), ))</f>
        <v>0</v>
      </c>
      <c r="F99" s="134"/>
      <c r="G99" s="169">
        <f t="array" ref="G99">IF(SUM('Entrada Prod (semanal)'!F$3:F$108)&gt;0,('Entrada Prod (semanal)'!F91)/7/B99*100,IF(SUM('Entrada Prod (semanal)'!$H$3:$H$108)&gt;0,('Entrada Prod (semanal)'!H91), ))</f>
        <v>0</v>
      </c>
      <c r="H99" s="61">
        <f t="shared" si="46"/>
        <v>0</v>
      </c>
      <c r="I99" s="145">
        <f t="shared" si="27"/>
        <v>0</v>
      </c>
      <c r="J99" s="169">
        <f t="shared" si="27"/>
        <v>0</v>
      </c>
      <c r="K99" s="61">
        <f>IF(ISNUMBER('Entrada Prod (semanal)'!I91),'Entrada Prod (semanal)'!I91,K98)</f>
        <v>0</v>
      </c>
      <c r="L99" s="43"/>
      <c r="M99" s="36">
        <f>IF(H99&lt;&gt;0,SUMPRODUCT(($K$11:K99)*($X$11:X99)/H99),0)</f>
        <v>0</v>
      </c>
      <c r="N99" s="60">
        <f>IF(I99&lt;&gt;0,SUMPRODUCT(($L$11:L99)*($Y$11:Y99)/I99),0)</f>
        <v>0</v>
      </c>
      <c r="O99" s="61">
        <f t="shared" si="28"/>
        <v>0</v>
      </c>
      <c r="P99" s="109">
        <f t="shared" si="29"/>
        <v>0</v>
      </c>
      <c r="Q99" s="102">
        <f t="shared" si="36"/>
        <v>0</v>
      </c>
      <c r="R99" s="103">
        <f t="shared" si="37"/>
        <v>28.015435454999977</v>
      </c>
      <c r="S99" s="85">
        <f t="shared" si="30"/>
        <v>0</v>
      </c>
      <c r="T99" s="136" t="str">
        <f t="shared" si="31"/>
        <v/>
      </c>
      <c r="U99" s="169">
        <f t="shared" si="32"/>
        <v>0</v>
      </c>
      <c r="V99" s="352">
        <f t="shared" si="44"/>
        <v>0</v>
      </c>
      <c r="W99" s="352">
        <f t="shared" si="45"/>
        <v>0</v>
      </c>
      <c r="X99" s="357">
        <f t="shared" si="38"/>
        <v>0</v>
      </c>
      <c r="Y99" s="357">
        <f t="shared" si="39"/>
        <v>0</v>
      </c>
      <c r="Z99" s="357" t="str">
        <f t="shared" si="33"/>
        <v/>
      </c>
      <c r="AA99" s="357" t="str">
        <f t="shared" si="34"/>
        <v/>
      </c>
      <c r="AB99" s="350">
        <f t="shared" si="43"/>
        <v>0</v>
      </c>
      <c r="AC99" s="350">
        <f t="shared" si="40"/>
        <v>100</v>
      </c>
      <c r="AD99" s="350">
        <f t="shared" si="41"/>
        <v>0</v>
      </c>
      <c r="AE99" s="357">
        <f t="shared" si="42"/>
        <v>0</v>
      </c>
    </row>
    <row r="100" spans="1:31" x14ac:dyDescent="0.25">
      <c r="A100" s="271">
        <v>104</v>
      </c>
      <c r="B100" s="49">
        <f t="array" ref="B100">IF(SUM('Entrada Prod (semanal)'!C$3:C$108)&gt;0,$Q$7-SUM('Entrada Prod (semanal)'!C$3:C92),IF(SUM('Entrada Prod (semanal)'!$D$3:D197)&gt;0,$Q$7-SUM('Entrada Prod (semanal)'!$D$3:D92)/100*$Q$7,$Q$7))</f>
        <v>0</v>
      </c>
      <c r="C100" s="37">
        <f>IF((Info!$J$5&gt;0),B100/$Q$7*100, )</f>
        <v>0</v>
      </c>
      <c r="D100" s="54"/>
      <c r="E100" s="86">
        <f t="array" ref="E100">IF(SUM('Entrada Prod (semanal)'!E$3:E$108)&gt;0,('Entrada Prod (semanal)'!E92)/7/B100*100,IF(SUM('Entrada Prod (semanal)'!$G$3:$G$108)&gt;0,('Entrada Prod (semanal)'!G92), ))</f>
        <v>0</v>
      </c>
      <c r="F100" s="158"/>
      <c r="G100" s="170">
        <f t="array" ref="G100">IF(SUM('Entrada Prod (semanal)'!F$3:F$108)&gt;0,('Entrada Prod (semanal)'!F92)/7/B100*100,IF(SUM('Entrada Prod (semanal)'!$H$3:$H$108)&gt;0,('Entrada Prod (semanal)'!H92), ))</f>
        <v>0</v>
      </c>
      <c r="H100" s="62">
        <f t="shared" si="46"/>
        <v>0</v>
      </c>
      <c r="I100" s="146">
        <f t="shared" si="27"/>
        <v>0</v>
      </c>
      <c r="J100" s="170">
        <f t="shared" si="27"/>
        <v>0</v>
      </c>
      <c r="K100" s="62">
        <f>IF(ISNUMBER('Entrada Prod (semanal)'!I92),'Entrada Prod (semanal)'!I92,K99)</f>
        <v>0</v>
      </c>
      <c r="L100" s="44"/>
      <c r="M100" s="37">
        <f>IF(H100&lt;&gt;0,SUMPRODUCT(($K$11:K100)*($X$11:X100)/H100),0)</f>
        <v>0</v>
      </c>
      <c r="N100" s="63">
        <f>IF(I100&lt;&gt;0,SUMPRODUCT(($L$11:L100)*($Y$11:Y100)/I100),0)</f>
        <v>0</v>
      </c>
      <c r="O100" s="62">
        <f t="shared" si="28"/>
        <v>0</v>
      </c>
      <c r="P100" s="113">
        <f t="shared" si="29"/>
        <v>0</v>
      </c>
      <c r="Q100" s="104">
        <f t="shared" si="36"/>
        <v>0</v>
      </c>
      <c r="R100" s="105">
        <f t="shared" si="37"/>
        <v>28.015435454999977</v>
      </c>
      <c r="S100" s="86">
        <f t="shared" si="30"/>
        <v>0</v>
      </c>
      <c r="T100" s="141" t="str">
        <f t="shared" si="31"/>
        <v/>
      </c>
      <c r="U100" s="170">
        <f t="shared" si="32"/>
        <v>0</v>
      </c>
      <c r="V100" s="352">
        <f t="shared" si="44"/>
        <v>0</v>
      </c>
      <c r="W100" s="352">
        <f t="shared" si="45"/>
        <v>0</v>
      </c>
      <c r="X100" s="357">
        <f t="shared" si="38"/>
        <v>0</v>
      </c>
      <c r="Y100" s="357">
        <f t="shared" si="39"/>
        <v>0</v>
      </c>
      <c r="Z100" s="357" t="str">
        <f t="shared" si="33"/>
        <v/>
      </c>
      <c r="AA100" s="357" t="str">
        <f t="shared" si="34"/>
        <v/>
      </c>
      <c r="AB100" s="350">
        <f t="shared" si="43"/>
        <v>0</v>
      </c>
      <c r="AC100" s="350">
        <f t="shared" si="40"/>
        <v>100</v>
      </c>
      <c r="AD100" s="350">
        <f t="shared" si="41"/>
        <v>0</v>
      </c>
      <c r="AE100" s="357">
        <f t="shared" si="42"/>
        <v>0</v>
      </c>
    </row>
    <row r="101" spans="1:31" x14ac:dyDescent="0.25">
      <c r="A101" s="270">
        <v>105</v>
      </c>
      <c r="B101" s="48">
        <f t="array" ref="B101">IF(SUM('Entrada Prod (semanal)'!C$3:C$108)&gt;0,$Q$7-SUM('Entrada Prod (semanal)'!C$3:C93),IF(SUM('Entrada Prod (semanal)'!$D$3:D198)&gt;0,$Q$7-SUM('Entrada Prod (semanal)'!$D$3:D93)/100*$Q$7,$Q$7))</f>
        <v>0</v>
      </c>
      <c r="C101" s="36">
        <f>IF((Info!$J$5&gt;0),B101/$Q$7*100, )</f>
        <v>0</v>
      </c>
      <c r="D101" s="51"/>
      <c r="E101" s="85">
        <f t="array" ref="E101">IF(SUM('Entrada Prod (semanal)'!E$3:E$108)&gt;0,('Entrada Prod (semanal)'!E93)/7/B101*100,IF(SUM('Entrada Prod (semanal)'!$G$3:$G$108)&gt;0,('Entrada Prod (semanal)'!G93), ))</f>
        <v>0</v>
      </c>
      <c r="F101" s="134"/>
      <c r="G101" s="169">
        <f t="array" ref="G101">IF(SUM('Entrada Prod (semanal)'!F$3:F$108)&gt;0,('Entrada Prod (semanal)'!F93)/7/B101*100,IF(SUM('Entrada Prod (semanal)'!$H$3:$H$108)&gt;0,('Entrada Prod (semanal)'!H93), ))</f>
        <v>0</v>
      </c>
      <c r="H101" s="61">
        <f t="shared" si="46"/>
        <v>0</v>
      </c>
      <c r="I101" s="145">
        <f t="shared" si="27"/>
        <v>0</v>
      </c>
      <c r="J101" s="169">
        <f t="shared" si="27"/>
        <v>0</v>
      </c>
      <c r="K101" s="61">
        <f>IF(ISNUMBER('Entrada Prod (semanal)'!I93),'Entrada Prod (semanal)'!I93,K100)</f>
        <v>0</v>
      </c>
      <c r="L101" s="43"/>
      <c r="M101" s="36">
        <f>IF(H101&lt;&gt;0,SUMPRODUCT(($K$11:K101)*($X$11:X101)/H101),0)</f>
        <v>0</v>
      </c>
      <c r="N101" s="60">
        <f>IF(I101&lt;&gt;0,SUMPRODUCT(($L$11:L101)*($Y$11:Y101)/I101),0)</f>
        <v>0</v>
      </c>
      <c r="O101" s="61">
        <f t="shared" si="28"/>
        <v>0</v>
      </c>
      <c r="P101" s="109">
        <f t="shared" si="29"/>
        <v>0</v>
      </c>
      <c r="Q101" s="102">
        <f t="shared" si="36"/>
        <v>0</v>
      </c>
      <c r="R101" s="103">
        <f t="shared" si="37"/>
        <v>28.015435454999977</v>
      </c>
      <c r="S101" s="85">
        <f t="shared" si="30"/>
        <v>0</v>
      </c>
      <c r="T101" s="136" t="str">
        <f t="shared" si="31"/>
        <v/>
      </c>
      <c r="U101" s="169">
        <f t="shared" si="32"/>
        <v>0</v>
      </c>
      <c r="V101" s="352">
        <f t="shared" si="44"/>
        <v>0</v>
      </c>
      <c r="W101" s="352">
        <f t="shared" si="45"/>
        <v>0</v>
      </c>
      <c r="X101" s="357">
        <f t="shared" si="38"/>
        <v>0</v>
      </c>
      <c r="Y101" s="357">
        <f t="shared" si="39"/>
        <v>0</v>
      </c>
      <c r="Z101" s="357" t="str">
        <f t="shared" si="33"/>
        <v/>
      </c>
      <c r="AA101" s="357" t="str">
        <f t="shared" si="34"/>
        <v/>
      </c>
      <c r="AB101" s="350">
        <f t="shared" si="43"/>
        <v>0</v>
      </c>
      <c r="AC101" s="350">
        <f t="shared" si="40"/>
        <v>100</v>
      </c>
      <c r="AD101" s="350">
        <f t="shared" si="41"/>
        <v>0</v>
      </c>
      <c r="AE101" s="357">
        <f t="shared" si="42"/>
        <v>0</v>
      </c>
    </row>
    <row r="102" spans="1:31" x14ac:dyDescent="0.25">
      <c r="A102" s="270">
        <v>106</v>
      </c>
      <c r="B102" s="48">
        <f t="array" ref="B102">IF(SUM('Entrada Prod (semanal)'!C$3:C$108)&gt;0,$Q$7-SUM('Entrada Prod (semanal)'!C$3:C94),IF(SUM('Entrada Prod (semanal)'!$D$3:D199)&gt;0,$Q$7-SUM('Entrada Prod (semanal)'!$D$3:D94)/100*$Q$7,$Q$7))</f>
        <v>0</v>
      </c>
      <c r="C102" s="36">
        <f>IF((Info!$J$5&gt;0),B102/$Q$7*100, )</f>
        <v>0</v>
      </c>
      <c r="D102" s="51"/>
      <c r="E102" s="85">
        <f t="array" ref="E102">IF(SUM('Entrada Prod (semanal)'!E$3:E$108)&gt;0,('Entrada Prod (semanal)'!E94)/7/B102*100,IF(SUM('Entrada Prod (semanal)'!$G$3:$G$108)&gt;0,('Entrada Prod (semanal)'!G94), ))</f>
        <v>0</v>
      </c>
      <c r="F102" s="134"/>
      <c r="G102" s="169">
        <f t="array" ref="G102">IF(SUM('Entrada Prod (semanal)'!F$3:F$108)&gt;0,('Entrada Prod (semanal)'!F94)/7/B102*100,IF(SUM('Entrada Prod (semanal)'!$H$3:$H$108)&gt;0,('Entrada Prod (semanal)'!H94), ))</f>
        <v>0</v>
      </c>
      <c r="H102" s="61">
        <f t="shared" si="46"/>
        <v>0</v>
      </c>
      <c r="I102" s="145">
        <f t="shared" si="27"/>
        <v>0</v>
      </c>
      <c r="J102" s="169">
        <f t="shared" si="27"/>
        <v>0</v>
      </c>
      <c r="K102" s="61">
        <f>IF(ISNUMBER('Entrada Prod (semanal)'!I94),'Entrada Prod (semanal)'!I94,K101)</f>
        <v>0</v>
      </c>
      <c r="L102" s="43"/>
      <c r="M102" s="36">
        <f>IF(H102&lt;&gt;0,SUMPRODUCT(($K$11:K102)*($X$11:X102)/H102),0)</f>
        <v>0</v>
      </c>
      <c r="N102" s="60">
        <f>IF(I102&lt;&gt;0,SUMPRODUCT(($L$11:L102)*($Y$11:Y102)/I102),0)</f>
        <v>0</v>
      </c>
      <c r="O102" s="61">
        <f t="shared" si="28"/>
        <v>0</v>
      </c>
      <c r="P102" s="109">
        <f t="shared" si="29"/>
        <v>0</v>
      </c>
      <c r="Q102" s="102">
        <f t="shared" si="36"/>
        <v>0</v>
      </c>
      <c r="R102" s="103">
        <f t="shared" si="37"/>
        <v>28.015435454999977</v>
      </c>
      <c r="S102" s="85">
        <f t="shared" si="30"/>
        <v>0</v>
      </c>
      <c r="T102" s="136" t="str">
        <f t="shared" si="31"/>
        <v/>
      </c>
      <c r="U102" s="169">
        <f t="shared" si="32"/>
        <v>0</v>
      </c>
      <c r="V102" s="352">
        <f t="shared" si="44"/>
        <v>0</v>
      </c>
      <c r="W102" s="352">
        <f t="shared" si="45"/>
        <v>0</v>
      </c>
      <c r="X102" s="357">
        <f t="shared" si="38"/>
        <v>0</v>
      </c>
      <c r="Y102" s="357">
        <f t="shared" si="39"/>
        <v>0</v>
      </c>
      <c r="Z102" s="357" t="str">
        <f t="shared" si="33"/>
        <v/>
      </c>
      <c r="AA102" s="357" t="str">
        <f t="shared" si="34"/>
        <v/>
      </c>
      <c r="AB102" s="350">
        <f t="shared" si="43"/>
        <v>0</v>
      </c>
      <c r="AC102" s="350">
        <f t="shared" si="40"/>
        <v>100</v>
      </c>
      <c r="AD102" s="350">
        <f t="shared" si="41"/>
        <v>0</v>
      </c>
      <c r="AE102" s="357">
        <f t="shared" si="42"/>
        <v>0</v>
      </c>
    </row>
    <row r="103" spans="1:31" x14ac:dyDescent="0.25">
      <c r="A103" s="270">
        <v>107</v>
      </c>
      <c r="B103" s="48">
        <f t="array" ref="B103">IF(SUM('Entrada Prod (semanal)'!C$3:C$108)&gt;0,$Q$7-SUM('Entrada Prod (semanal)'!C$3:C95),IF(SUM('Entrada Prod (semanal)'!$D$3:D200)&gt;0,$Q$7-SUM('Entrada Prod (semanal)'!$D$3:D95)/100*$Q$7,$Q$7))</f>
        <v>0</v>
      </c>
      <c r="C103" s="36">
        <f>IF((Info!$J$5&gt;0),B103/$Q$7*100, )</f>
        <v>0</v>
      </c>
      <c r="D103" s="51"/>
      <c r="E103" s="85">
        <f t="array" ref="E103">IF(SUM('Entrada Prod (semanal)'!E$3:E$108)&gt;0,('Entrada Prod (semanal)'!E95)/7/B103*100,IF(SUM('Entrada Prod (semanal)'!$G$3:$G$108)&gt;0,('Entrada Prod (semanal)'!G95), ))</f>
        <v>0</v>
      </c>
      <c r="F103" s="134"/>
      <c r="G103" s="169">
        <f t="array" ref="G103">IF(SUM('Entrada Prod (semanal)'!F$3:F$108)&gt;0,('Entrada Prod (semanal)'!F95)/7/B103*100,IF(SUM('Entrada Prod (semanal)'!$H$3:$H$108)&gt;0,('Entrada Prod (semanal)'!H95), ))</f>
        <v>0</v>
      </c>
      <c r="H103" s="61">
        <f t="shared" si="46"/>
        <v>0</v>
      </c>
      <c r="I103" s="145">
        <f t="shared" si="27"/>
        <v>0</v>
      </c>
      <c r="J103" s="169">
        <f t="shared" si="27"/>
        <v>0</v>
      </c>
      <c r="K103" s="61">
        <f>IF(ISNUMBER('Entrada Prod (semanal)'!I95),'Entrada Prod (semanal)'!I95,K102)</f>
        <v>0</v>
      </c>
      <c r="L103" s="43"/>
      <c r="M103" s="36">
        <f>IF(H103&lt;&gt;0,SUMPRODUCT(($K$11:K103)*($X$11:X103)/H103),0)</f>
        <v>0</v>
      </c>
      <c r="N103" s="60">
        <f>IF(I103&lt;&gt;0,SUMPRODUCT(($L$11:L103)*($Y$11:Y103)/I103),0)</f>
        <v>0</v>
      </c>
      <c r="O103" s="61">
        <f t="shared" si="28"/>
        <v>0</v>
      </c>
      <c r="P103" s="109">
        <f t="shared" si="29"/>
        <v>0</v>
      </c>
      <c r="Q103" s="102">
        <f t="shared" si="36"/>
        <v>0</v>
      </c>
      <c r="R103" s="103">
        <f t="shared" si="37"/>
        <v>28.015435454999977</v>
      </c>
      <c r="S103" s="85">
        <f t="shared" si="30"/>
        <v>0</v>
      </c>
      <c r="T103" s="136" t="str">
        <f t="shared" si="31"/>
        <v/>
      </c>
      <c r="U103" s="169">
        <f t="shared" si="32"/>
        <v>0</v>
      </c>
      <c r="V103" s="352">
        <f t="shared" si="44"/>
        <v>0</v>
      </c>
      <c r="W103" s="352">
        <f t="shared" si="45"/>
        <v>0</v>
      </c>
      <c r="X103" s="357">
        <f t="shared" si="38"/>
        <v>0</v>
      </c>
      <c r="Y103" s="357">
        <f t="shared" si="39"/>
        <v>0</v>
      </c>
      <c r="Z103" s="357" t="str">
        <f t="shared" si="33"/>
        <v/>
      </c>
      <c r="AA103" s="357" t="str">
        <f t="shared" si="34"/>
        <v/>
      </c>
      <c r="AB103" s="350">
        <f t="shared" si="43"/>
        <v>0</v>
      </c>
      <c r="AC103" s="350">
        <f t="shared" si="40"/>
        <v>100</v>
      </c>
      <c r="AD103" s="350">
        <f t="shared" si="41"/>
        <v>0</v>
      </c>
      <c r="AE103" s="357">
        <f t="shared" si="42"/>
        <v>0</v>
      </c>
    </row>
    <row r="104" spans="1:31" x14ac:dyDescent="0.25">
      <c r="A104" s="271">
        <v>108</v>
      </c>
      <c r="B104" s="49">
        <f t="array" ref="B104">IF(SUM('Entrada Prod (semanal)'!C$3:C$108)&gt;0,$Q$7-SUM('Entrada Prod (semanal)'!C$3:C96),IF(SUM('Entrada Prod (semanal)'!$D$3:D201)&gt;0,$Q$7-SUM('Entrada Prod (semanal)'!$D$3:D96)/100*$Q$7,$Q$7))</f>
        <v>0</v>
      </c>
      <c r="C104" s="37">
        <f>IF((Info!$J$5&gt;0),B104/$Q$7*100, )</f>
        <v>0</v>
      </c>
      <c r="D104" s="54"/>
      <c r="E104" s="86">
        <f t="array" ref="E104">IF(SUM('Entrada Prod (semanal)'!E$3:E$108)&gt;0,('Entrada Prod (semanal)'!E96)/7/B104*100,IF(SUM('Entrada Prod (semanal)'!$G$3:$G$108)&gt;0,('Entrada Prod (semanal)'!G96), ))</f>
        <v>0</v>
      </c>
      <c r="F104" s="158"/>
      <c r="G104" s="170">
        <f t="array" ref="G104">IF(SUM('Entrada Prod (semanal)'!F$3:F$108)&gt;0,('Entrada Prod (semanal)'!F96)/7/B104*100,IF(SUM('Entrada Prod (semanal)'!$H$3:$H$108)&gt;0,('Entrada Prod (semanal)'!H96), ))</f>
        <v>0</v>
      </c>
      <c r="H104" s="62">
        <f t="shared" si="46"/>
        <v>0</v>
      </c>
      <c r="I104" s="146">
        <f t="shared" si="27"/>
        <v>0</v>
      </c>
      <c r="J104" s="170">
        <f t="shared" si="27"/>
        <v>0</v>
      </c>
      <c r="K104" s="62">
        <f>IF(ISNUMBER('Entrada Prod (semanal)'!I96),'Entrada Prod (semanal)'!I96,K103)</f>
        <v>0</v>
      </c>
      <c r="L104" s="44"/>
      <c r="M104" s="37">
        <f>IF(H104&lt;&gt;0,SUMPRODUCT(($K$11:K104)*($X$11:X104)/H104),0)</f>
        <v>0</v>
      </c>
      <c r="N104" s="63">
        <f>IF(I104&lt;&gt;0,SUMPRODUCT(($L$11:L104)*($Y$11:Y104)/I104),0)</f>
        <v>0</v>
      </c>
      <c r="O104" s="62">
        <f t="shared" si="28"/>
        <v>0</v>
      </c>
      <c r="P104" s="113">
        <f t="shared" si="29"/>
        <v>0</v>
      </c>
      <c r="Q104" s="104">
        <f t="shared" si="36"/>
        <v>0</v>
      </c>
      <c r="R104" s="105">
        <f t="shared" si="37"/>
        <v>28.015435454999977</v>
      </c>
      <c r="S104" s="86">
        <f t="shared" si="30"/>
        <v>0</v>
      </c>
      <c r="T104" s="141" t="str">
        <f t="shared" si="31"/>
        <v/>
      </c>
      <c r="U104" s="170">
        <f t="shared" si="32"/>
        <v>0</v>
      </c>
      <c r="V104" s="352">
        <f t="shared" si="44"/>
        <v>0</v>
      </c>
      <c r="W104" s="352">
        <f t="shared" si="45"/>
        <v>0</v>
      </c>
      <c r="X104" s="357">
        <f t="shared" si="38"/>
        <v>0</v>
      </c>
      <c r="Y104" s="357">
        <f t="shared" si="39"/>
        <v>0</v>
      </c>
      <c r="Z104" s="357" t="str">
        <f t="shared" si="33"/>
        <v/>
      </c>
      <c r="AA104" s="357" t="str">
        <f t="shared" si="34"/>
        <v/>
      </c>
      <c r="AB104" s="350">
        <f t="shared" si="43"/>
        <v>0</v>
      </c>
      <c r="AC104" s="350">
        <f t="shared" si="40"/>
        <v>100</v>
      </c>
      <c r="AD104" s="350">
        <f t="shared" si="41"/>
        <v>0</v>
      </c>
      <c r="AE104" s="357">
        <f t="shared" si="42"/>
        <v>0</v>
      </c>
    </row>
    <row r="105" spans="1:31" x14ac:dyDescent="0.25">
      <c r="A105" s="270">
        <v>109</v>
      </c>
      <c r="B105" s="48">
        <f t="array" ref="B105">IF(SUM('Entrada Prod (semanal)'!C$3:C$108)&gt;0,$Q$7-SUM('Entrada Prod (semanal)'!C$3:C97),IF(SUM('Entrada Prod (semanal)'!$D$3:D202)&gt;0,$Q$7-SUM('Entrada Prod (semanal)'!$D$3:D97)/100*$Q$7,$Q$7))</f>
        <v>0</v>
      </c>
      <c r="C105" s="36">
        <f>IF((Info!$J$5&gt;0),B105/$Q$7*100, )</f>
        <v>0</v>
      </c>
      <c r="D105" s="51"/>
      <c r="E105" s="85">
        <f t="array" ref="E105">IF(SUM('Entrada Prod (semanal)'!E$3:E$108)&gt;0,('Entrada Prod (semanal)'!E97)/7/B105*100,IF(SUM('Entrada Prod (semanal)'!$G$3:$G$108)&gt;0,('Entrada Prod (semanal)'!G97), ))</f>
        <v>0</v>
      </c>
      <c r="F105" s="134"/>
      <c r="G105" s="169">
        <f t="array" ref="G105">IF(SUM('Entrada Prod (semanal)'!F$3:F$108)&gt;0,('Entrada Prod (semanal)'!F97)/7/B105*100,IF(SUM('Entrada Prod (semanal)'!$H$3:$H$108)&gt;0,('Entrada Prod (semanal)'!H97), ))</f>
        <v>0</v>
      </c>
      <c r="H105" s="61">
        <f t="shared" si="46"/>
        <v>0</v>
      </c>
      <c r="I105" s="145">
        <f t="shared" si="27"/>
        <v>0</v>
      </c>
      <c r="J105" s="169">
        <f t="shared" si="27"/>
        <v>0</v>
      </c>
      <c r="K105" s="61">
        <f>IF(ISNUMBER('Entrada Prod (semanal)'!I97),'Entrada Prod (semanal)'!I97,K104)</f>
        <v>0</v>
      </c>
      <c r="L105" s="43"/>
      <c r="M105" s="36">
        <f>IF(H105&lt;&gt;0,SUMPRODUCT(($K$11:K105)*($X$11:X105)/H105),0)</f>
        <v>0</v>
      </c>
      <c r="N105" s="60">
        <f>IF(I105&lt;&gt;0,SUMPRODUCT(($L$11:L105)*($Y$11:Y105)/I105),0)</f>
        <v>0</v>
      </c>
      <c r="O105" s="61">
        <f t="shared" si="28"/>
        <v>0</v>
      </c>
      <c r="P105" s="109">
        <f t="shared" si="29"/>
        <v>0</v>
      </c>
      <c r="Q105" s="102">
        <f t="shared" si="36"/>
        <v>0</v>
      </c>
      <c r="R105" s="103">
        <f t="shared" si="37"/>
        <v>28.015435454999977</v>
      </c>
      <c r="S105" s="85">
        <f t="shared" si="30"/>
        <v>0</v>
      </c>
      <c r="T105" s="136" t="str">
        <f t="shared" si="31"/>
        <v/>
      </c>
      <c r="U105" s="169">
        <f t="shared" si="32"/>
        <v>0</v>
      </c>
      <c r="V105" s="352">
        <f t="shared" si="44"/>
        <v>0</v>
      </c>
      <c r="W105" s="352">
        <f t="shared" si="45"/>
        <v>0</v>
      </c>
      <c r="X105" s="357">
        <f t="shared" si="38"/>
        <v>0</v>
      </c>
      <c r="Y105" s="357">
        <f t="shared" si="39"/>
        <v>0</v>
      </c>
      <c r="Z105" s="357" t="str">
        <f t="shared" si="33"/>
        <v/>
      </c>
      <c r="AA105" s="357" t="str">
        <f t="shared" si="34"/>
        <v/>
      </c>
      <c r="AB105" s="350">
        <f t="shared" si="43"/>
        <v>0</v>
      </c>
      <c r="AC105" s="350">
        <f t="shared" si="40"/>
        <v>100</v>
      </c>
      <c r="AD105" s="350">
        <f t="shared" si="41"/>
        <v>0</v>
      </c>
      <c r="AE105" s="357">
        <f t="shared" si="42"/>
        <v>0</v>
      </c>
    </row>
    <row r="106" spans="1:31" x14ac:dyDescent="0.25">
      <c r="A106" s="270">
        <v>110</v>
      </c>
      <c r="B106" s="48">
        <f t="array" ref="B106">IF(SUM('Entrada Prod (semanal)'!C$3:C$108)&gt;0,$Q$7-SUM('Entrada Prod (semanal)'!C$3:C98),IF(SUM('Entrada Prod (semanal)'!$D$3:D203)&gt;0,$Q$7-SUM('Entrada Prod (semanal)'!$D$3:D98)/100*$Q$7,$Q$7))</f>
        <v>0</v>
      </c>
      <c r="C106" s="36">
        <f>IF((Info!$J$5&gt;0),B106/$Q$7*100, )</f>
        <v>0</v>
      </c>
      <c r="D106" s="51"/>
      <c r="E106" s="85">
        <f t="array" ref="E106">IF(SUM('Entrada Prod (semanal)'!E$3:E$108)&gt;0,('Entrada Prod (semanal)'!E98)/7/B106*100,IF(SUM('Entrada Prod (semanal)'!$G$3:$G$108)&gt;0,('Entrada Prod (semanal)'!G98), ))</f>
        <v>0</v>
      </c>
      <c r="F106" s="134"/>
      <c r="G106" s="169">
        <f t="array" ref="G106">IF(SUM('Entrada Prod (semanal)'!F$3:F$108)&gt;0,('Entrada Prod (semanal)'!F98)/7/B106*100,IF(SUM('Entrada Prod (semanal)'!$H$3:$H$108)&gt;0,('Entrada Prod (semanal)'!H98), ))</f>
        <v>0</v>
      </c>
      <c r="H106" s="61">
        <f t="shared" si="46"/>
        <v>0</v>
      </c>
      <c r="I106" s="145">
        <f t="shared" si="27"/>
        <v>0</v>
      </c>
      <c r="J106" s="169">
        <f t="shared" si="27"/>
        <v>0</v>
      </c>
      <c r="K106" s="61">
        <f>IF(ISNUMBER('Entrada Prod (semanal)'!I98),'Entrada Prod (semanal)'!I98,K105)</f>
        <v>0</v>
      </c>
      <c r="L106" s="43"/>
      <c r="M106" s="36">
        <f>IF(H106&lt;&gt;0,SUMPRODUCT(($K$11:K106)*($X$11:X106)/H106),0)</f>
        <v>0</v>
      </c>
      <c r="N106" s="60">
        <f>IF(I106&lt;&gt;0,SUMPRODUCT(($L$11:L106)*($Y$11:Y106)/I106),0)</f>
        <v>0</v>
      </c>
      <c r="O106" s="61">
        <f t="shared" si="28"/>
        <v>0</v>
      </c>
      <c r="P106" s="109">
        <f t="shared" si="29"/>
        <v>0</v>
      </c>
      <c r="Q106" s="102">
        <f t="shared" si="36"/>
        <v>0</v>
      </c>
      <c r="R106" s="103">
        <f t="shared" si="37"/>
        <v>28.015435454999977</v>
      </c>
      <c r="S106" s="85">
        <f t="shared" si="30"/>
        <v>0</v>
      </c>
      <c r="T106" s="136" t="str">
        <f t="shared" si="31"/>
        <v/>
      </c>
      <c r="U106" s="169">
        <f t="shared" si="32"/>
        <v>0</v>
      </c>
      <c r="V106" s="352">
        <f t="shared" si="44"/>
        <v>0</v>
      </c>
      <c r="W106" s="352">
        <f t="shared" si="45"/>
        <v>0</v>
      </c>
      <c r="X106" s="357">
        <f t="shared" si="38"/>
        <v>0</v>
      </c>
      <c r="Y106" s="357">
        <f t="shared" si="39"/>
        <v>0</v>
      </c>
      <c r="Z106" s="357" t="str">
        <f t="shared" si="33"/>
        <v/>
      </c>
      <c r="AA106" s="357" t="str">
        <f t="shared" si="34"/>
        <v/>
      </c>
      <c r="AB106" s="350">
        <f t="shared" si="43"/>
        <v>0</v>
      </c>
      <c r="AC106" s="350">
        <f t="shared" si="40"/>
        <v>100</v>
      </c>
      <c r="AD106" s="350">
        <f t="shared" si="41"/>
        <v>0</v>
      </c>
      <c r="AE106" s="357">
        <f t="shared" si="42"/>
        <v>0</v>
      </c>
    </row>
    <row r="107" spans="1:31" x14ac:dyDescent="0.25">
      <c r="A107" s="270">
        <v>111</v>
      </c>
      <c r="B107" s="48">
        <f t="array" ref="B107">IF(SUM('Entrada Prod (semanal)'!C$3:C$108)&gt;0,$Q$7-SUM('Entrada Prod (semanal)'!C$3:C99),IF(SUM('Entrada Prod (semanal)'!$D$3:D204)&gt;0,$Q$7-SUM('Entrada Prod (semanal)'!$D$3:D99)/100*$Q$7,$Q$7))</f>
        <v>0</v>
      </c>
      <c r="C107" s="36">
        <f>IF((Info!$J$5&gt;0),B107/$Q$7*100, )</f>
        <v>0</v>
      </c>
      <c r="D107" s="51"/>
      <c r="E107" s="85">
        <f t="array" ref="E107">IF(SUM('Entrada Prod (semanal)'!E$3:E$108)&gt;0,('Entrada Prod (semanal)'!E99)/7/B107*100,IF(SUM('Entrada Prod (semanal)'!$G$3:$G$108)&gt;0,('Entrada Prod (semanal)'!G99), ))</f>
        <v>0</v>
      </c>
      <c r="F107" s="134"/>
      <c r="G107" s="169">
        <f t="array" ref="G107">IF(SUM('Entrada Prod (semanal)'!F$3:F$108)&gt;0,('Entrada Prod (semanal)'!F99)/7/B107*100,IF(SUM('Entrada Prod (semanal)'!$H$3:$H$108)&gt;0,('Entrada Prod (semanal)'!H99), ))</f>
        <v>0</v>
      </c>
      <c r="H107" s="61">
        <f t="shared" si="46"/>
        <v>0</v>
      </c>
      <c r="I107" s="145">
        <f t="shared" si="27"/>
        <v>0</v>
      </c>
      <c r="J107" s="169">
        <f t="shared" si="27"/>
        <v>0</v>
      </c>
      <c r="K107" s="61">
        <f>IF(ISNUMBER('Entrada Prod (semanal)'!I99),'Entrada Prod (semanal)'!I99,K106)</f>
        <v>0</v>
      </c>
      <c r="L107" s="43"/>
      <c r="M107" s="36">
        <f>IF(H107&lt;&gt;0,SUMPRODUCT(($K$11:K107)*($X$11:X107)/H107),0)</f>
        <v>0</v>
      </c>
      <c r="N107" s="60">
        <f>IF(I107&lt;&gt;0,SUMPRODUCT(($L$11:L107)*($Y$11:Y107)/I107),0)</f>
        <v>0</v>
      </c>
      <c r="O107" s="61">
        <f t="shared" si="28"/>
        <v>0</v>
      </c>
      <c r="P107" s="109">
        <f t="shared" si="29"/>
        <v>0</v>
      </c>
      <c r="Q107" s="102">
        <f t="shared" si="36"/>
        <v>0</v>
      </c>
      <c r="R107" s="103">
        <f t="shared" si="37"/>
        <v>28.015435454999977</v>
      </c>
      <c r="S107" s="85">
        <f t="shared" si="30"/>
        <v>0</v>
      </c>
      <c r="T107" s="136" t="str">
        <f t="shared" si="31"/>
        <v/>
      </c>
      <c r="U107" s="169">
        <f t="shared" si="32"/>
        <v>0</v>
      </c>
      <c r="V107" s="352">
        <f t="shared" si="44"/>
        <v>0</v>
      </c>
      <c r="W107" s="352">
        <f t="shared" si="45"/>
        <v>0</v>
      </c>
      <c r="X107" s="357">
        <f t="shared" si="38"/>
        <v>0</v>
      </c>
      <c r="Y107" s="357">
        <f t="shared" si="39"/>
        <v>0</v>
      </c>
      <c r="Z107" s="357" t="str">
        <f t="shared" si="33"/>
        <v/>
      </c>
      <c r="AA107" s="357" t="str">
        <f t="shared" si="34"/>
        <v/>
      </c>
      <c r="AB107" s="350">
        <f t="shared" si="43"/>
        <v>0</v>
      </c>
      <c r="AC107" s="350">
        <f t="shared" si="40"/>
        <v>100</v>
      </c>
      <c r="AD107" s="350">
        <f t="shared" si="41"/>
        <v>0</v>
      </c>
      <c r="AE107" s="357">
        <f t="shared" si="42"/>
        <v>0</v>
      </c>
    </row>
    <row r="108" spans="1:31" x14ac:dyDescent="0.25">
      <c r="A108" s="271">
        <v>112</v>
      </c>
      <c r="B108" s="49">
        <f t="array" ref="B108">IF(SUM('Entrada Prod (semanal)'!C$3:C$108)&gt;0,$Q$7-SUM('Entrada Prod (semanal)'!C$3:C100),IF(SUM('Entrada Prod (semanal)'!$D$3:D205)&gt;0,$Q$7-SUM('Entrada Prod (semanal)'!$D$3:D100)/100*$Q$7,$Q$7))</f>
        <v>0</v>
      </c>
      <c r="C108" s="37">
        <f>IF((Info!$J$5&gt;0),B108/$Q$7*100, )</f>
        <v>0</v>
      </c>
      <c r="D108" s="54"/>
      <c r="E108" s="86">
        <f t="array" ref="E108">IF(SUM('Entrada Prod (semanal)'!E$3:E$108)&gt;0,('Entrada Prod (semanal)'!E100)/7/B108*100,IF(SUM('Entrada Prod (semanal)'!$G$3:$G$108)&gt;0,('Entrada Prod (semanal)'!G100), ))</f>
        <v>0</v>
      </c>
      <c r="F108" s="158"/>
      <c r="G108" s="170">
        <f t="array" ref="G108">IF(SUM('Entrada Prod (semanal)'!F$3:F$108)&gt;0,('Entrada Prod (semanal)'!F100)/7/B108*100,IF(SUM('Entrada Prod (semanal)'!$H$3:$H$108)&gt;0,('Entrada Prod (semanal)'!H100), ))</f>
        <v>0</v>
      </c>
      <c r="H108" s="62">
        <f t="shared" si="46"/>
        <v>0</v>
      </c>
      <c r="I108" s="146">
        <f t="shared" ref="I108:J116" si="47">IF(ISNUMBER(T108),7*T108/100+I107, )</f>
        <v>0</v>
      </c>
      <c r="J108" s="170">
        <f t="shared" si="47"/>
        <v>0</v>
      </c>
      <c r="K108" s="62">
        <f>IF(ISNUMBER('Entrada Prod (semanal)'!I100),'Entrada Prod (semanal)'!I100,K107)</f>
        <v>0</v>
      </c>
      <c r="L108" s="44"/>
      <c r="M108" s="37">
        <f>IF(H108&lt;&gt;0,SUMPRODUCT(($K$11:K108)*($X$11:X108)/H108),0)</f>
        <v>0</v>
      </c>
      <c r="N108" s="63">
        <f>IF(I108&lt;&gt;0,SUMPRODUCT(($L$11:L108)*($Y$11:Y108)/I108),0)</f>
        <v>0</v>
      </c>
      <c r="O108" s="62">
        <f t="shared" si="28"/>
        <v>0</v>
      </c>
      <c r="P108" s="113">
        <f t="shared" si="29"/>
        <v>0</v>
      </c>
      <c r="Q108" s="104">
        <f t="shared" si="36"/>
        <v>0</v>
      </c>
      <c r="R108" s="105">
        <f t="shared" si="37"/>
        <v>28.015435454999977</v>
      </c>
      <c r="S108" s="86">
        <f t="shared" si="30"/>
        <v>0</v>
      </c>
      <c r="T108" s="141" t="str">
        <f t="shared" si="31"/>
        <v/>
      </c>
      <c r="U108" s="170">
        <f t="shared" si="32"/>
        <v>0</v>
      </c>
      <c r="V108" s="352">
        <f t="shared" si="44"/>
        <v>0</v>
      </c>
      <c r="W108" s="352">
        <f t="shared" si="45"/>
        <v>0</v>
      </c>
      <c r="X108" s="357">
        <f t="shared" si="38"/>
        <v>0</v>
      </c>
      <c r="Y108" s="357">
        <f t="shared" si="39"/>
        <v>0</v>
      </c>
      <c r="Z108" s="357" t="str">
        <f t="shared" si="33"/>
        <v/>
      </c>
      <c r="AA108" s="357" t="str">
        <f t="shared" si="34"/>
        <v/>
      </c>
      <c r="AB108" s="350">
        <f t="shared" si="43"/>
        <v>0</v>
      </c>
      <c r="AC108" s="350">
        <f t="shared" si="40"/>
        <v>100</v>
      </c>
      <c r="AD108" s="350">
        <f t="shared" si="41"/>
        <v>0</v>
      </c>
      <c r="AE108" s="357">
        <f t="shared" si="42"/>
        <v>0</v>
      </c>
    </row>
    <row r="109" spans="1:31" x14ac:dyDescent="0.25">
      <c r="A109" s="270">
        <v>113</v>
      </c>
      <c r="B109" s="48">
        <f t="array" ref="B109">IF(SUM('Entrada Prod (semanal)'!C$3:C$108)&gt;0,$Q$7-SUM('Entrada Prod (semanal)'!C$3:C101),IF(SUM('Entrada Prod (semanal)'!$D$3:D206)&gt;0,$Q$7-SUM('Entrada Prod (semanal)'!$D$3:D101)/100*$Q$7,$Q$7))</f>
        <v>0</v>
      </c>
      <c r="C109" s="36">
        <f>IF((Info!$J$5&gt;0),B109/$Q$7*100, )</f>
        <v>0</v>
      </c>
      <c r="D109" s="51"/>
      <c r="E109" s="85">
        <f t="array" ref="E109">IF(SUM('Entrada Prod (semanal)'!E$3:E$108)&gt;0,('Entrada Prod (semanal)'!E101)/7/B109*100,IF(SUM('Entrada Prod (semanal)'!$G$3:$G$108)&gt;0,('Entrada Prod (semanal)'!G101), ))</f>
        <v>0</v>
      </c>
      <c r="F109" s="134"/>
      <c r="G109" s="169">
        <f t="array" ref="G109">IF(SUM('Entrada Prod (semanal)'!F$3:F$108)&gt;0,('Entrada Prod (semanal)'!F101)/7/B109*100,IF(SUM('Entrada Prod (semanal)'!$H$3:$H$108)&gt;0,('Entrada Prod (semanal)'!H101), ))</f>
        <v>0</v>
      </c>
      <c r="H109" s="61">
        <f t="shared" ref="H109:H116" si="48">7*S109/100+H108</f>
        <v>0</v>
      </c>
      <c r="I109" s="145">
        <f t="shared" si="47"/>
        <v>0</v>
      </c>
      <c r="J109" s="169">
        <f t="shared" si="47"/>
        <v>0</v>
      </c>
      <c r="K109" s="61">
        <f>IF(ISNUMBER('Entrada Prod (semanal)'!I101),'Entrada Prod (semanal)'!I101,K108)</f>
        <v>0</v>
      </c>
      <c r="L109" s="43"/>
      <c r="M109" s="36">
        <f>IF(H109&lt;&gt;0,SUMPRODUCT(($K$11:K109)*($X$11:X109)/H109),0)</f>
        <v>0</v>
      </c>
      <c r="N109" s="60">
        <f>IF(I109&lt;&gt;0,SUMPRODUCT(($L$11:L109)*($Y$11:Y109)/I109),0)</f>
        <v>0</v>
      </c>
      <c r="O109" s="61">
        <f t="shared" si="28"/>
        <v>0</v>
      </c>
      <c r="P109" s="109">
        <f t="shared" si="29"/>
        <v>0</v>
      </c>
      <c r="Q109" s="102">
        <f t="shared" si="36"/>
        <v>0</v>
      </c>
      <c r="R109" s="103">
        <f t="shared" si="37"/>
        <v>28.015435454999977</v>
      </c>
      <c r="S109" s="85">
        <f t="shared" si="30"/>
        <v>0</v>
      </c>
      <c r="T109" s="136" t="str">
        <f t="shared" si="31"/>
        <v/>
      </c>
      <c r="U109" s="169">
        <f t="shared" si="32"/>
        <v>0</v>
      </c>
      <c r="V109" s="352">
        <f t="shared" si="44"/>
        <v>0</v>
      </c>
      <c r="W109" s="352">
        <f t="shared" si="45"/>
        <v>0</v>
      </c>
      <c r="X109" s="357">
        <f t="shared" ref="X109:X116" si="49">H109-H108</f>
        <v>0</v>
      </c>
      <c r="Y109" s="357">
        <f t="shared" si="39"/>
        <v>0</v>
      </c>
      <c r="Z109" s="357" t="str">
        <f t="shared" si="33"/>
        <v/>
      </c>
      <c r="AA109" s="357" t="str">
        <f t="shared" si="34"/>
        <v/>
      </c>
      <c r="AB109" s="350">
        <f t="shared" si="43"/>
        <v>0</v>
      </c>
      <c r="AC109" s="350">
        <f t="shared" ref="AC109:AC116" si="50">IF(C109&lt;C108,D109,AC108)</f>
        <v>100</v>
      </c>
      <c r="AD109" s="350">
        <f t="shared" ref="AD109:AD116" si="51">IF(M109&gt;M108,N109,AD108)</f>
        <v>0</v>
      </c>
      <c r="AE109" s="357">
        <f t="shared" ref="AE109:AE116" si="52">IF(O109&gt;0,R109,AE108)</f>
        <v>0</v>
      </c>
    </row>
    <row r="110" spans="1:31" x14ac:dyDescent="0.25">
      <c r="A110" s="270">
        <v>114</v>
      </c>
      <c r="B110" s="48">
        <f t="array" ref="B110">IF(SUM('Entrada Prod (semanal)'!C$3:C$108)&gt;0,$Q$7-SUM('Entrada Prod (semanal)'!C$3:C102),IF(SUM('Entrada Prod (semanal)'!$D$3:D207)&gt;0,$Q$7-SUM('Entrada Prod (semanal)'!$D$3:D102)/100*$Q$7,$Q$7))</f>
        <v>0</v>
      </c>
      <c r="C110" s="36">
        <f>IF((Info!$J$5&gt;0),B110/$Q$7*100, )</f>
        <v>0</v>
      </c>
      <c r="D110" s="51"/>
      <c r="E110" s="85">
        <f t="array" ref="E110">IF(SUM('Entrada Prod (semanal)'!E$3:E$108)&gt;0,('Entrada Prod (semanal)'!E102)/7/B110*100,IF(SUM('Entrada Prod (semanal)'!$G$3:$G$108)&gt;0,('Entrada Prod (semanal)'!G102), ))</f>
        <v>0</v>
      </c>
      <c r="F110" s="134"/>
      <c r="G110" s="169">
        <f t="array" ref="G110">IF(SUM('Entrada Prod (semanal)'!F$3:F$108)&gt;0,('Entrada Prod (semanal)'!F102)/7/B110*100,IF(SUM('Entrada Prod (semanal)'!$H$3:$H$108)&gt;0,('Entrada Prod (semanal)'!H102), ))</f>
        <v>0</v>
      </c>
      <c r="H110" s="61">
        <f t="shared" si="48"/>
        <v>0</v>
      </c>
      <c r="I110" s="145">
        <f t="shared" si="47"/>
        <v>0</v>
      </c>
      <c r="J110" s="169">
        <f t="shared" si="47"/>
        <v>0</v>
      </c>
      <c r="K110" s="61">
        <f>IF(ISNUMBER('Entrada Prod (semanal)'!I102),'Entrada Prod (semanal)'!I102,K109)</f>
        <v>0</v>
      </c>
      <c r="L110" s="43"/>
      <c r="M110" s="36">
        <f>IF(H110&lt;&gt;0,SUMPRODUCT(($K$11:K110)*($X$11:X110)/H110),0)</f>
        <v>0</v>
      </c>
      <c r="N110" s="60">
        <f>IF(I110&lt;&gt;0,SUMPRODUCT(($L$11:L110)*($Y$11:Y110)/I110),0)</f>
        <v>0</v>
      </c>
      <c r="O110" s="61">
        <f t="shared" si="28"/>
        <v>0</v>
      </c>
      <c r="P110" s="109">
        <f t="shared" si="29"/>
        <v>0</v>
      </c>
      <c r="Q110" s="102">
        <f t="shared" si="36"/>
        <v>0</v>
      </c>
      <c r="R110" s="103">
        <f t="shared" si="37"/>
        <v>28.015435454999977</v>
      </c>
      <c r="S110" s="85">
        <f t="shared" si="30"/>
        <v>0</v>
      </c>
      <c r="T110" s="136" t="str">
        <f t="shared" si="31"/>
        <v/>
      </c>
      <c r="U110" s="169">
        <f t="shared" si="32"/>
        <v>0</v>
      </c>
      <c r="V110" s="352">
        <f t="shared" si="44"/>
        <v>0</v>
      </c>
      <c r="W110" s="352">
        <f t="shared" si="45"/>
        <v>0</v>
      </c>
      <c r="X110" s="357">
        <f t="shared" si="49"/>
        <v>0</v>
      </c>
      <c r="Y110" s="357">
        <f t="shared" si="39"/>
        <v>0</v>
      </c>
      <c r="Z110" s="357" t="str">
        <f t="shared" si="33"/>
        <v/>
      </c>
      <c r="AA110" s="357" t="str">
        <f t="shared" si="34"/>
        <v/>
      </c>
      <c r="AB110" s="350">
        <f t="shared" si="43"/>
        <v>0</v>
      </c>
      <c r="AC110" s="350">
        <f t="shared" si="50"/>
        <v>100</v>
      </c>
      <c r="AD110" s="350">
        <f t="shared" si="51"/>
        <v>0</v>
      </c>
      <c r="AE110" s="357">
        <f t="shared" si="52"/>
        <v>0</v>
      </c>
    </row>
    <row r="111" spans="1:31" x14ac:dyDescent="0.25">
      <c r="A111" s="270">
        <v>115</v>
      </c>
      <c r="B111" s="48">
        <f t="array" ref="B111">IF(SUM('Entrada Prod (semanal)'!C$3:C$108)&gt;0,$Q$7-SUM('Entrada Prod (semanal)'!C$3:C103),IF(SUM('Entrada Prod (semanal)'!$D$3:D208)&gt;0,$Q$7-SUM('Entrada Prod (semanal)'!$D$3:D103)/100*$Q$7,$Q$7))</f>
        <v>0</v>
      </c>
      <c r="C111" s="36">
        <f>IF((Info!$J$5&gt;0),B111/$Q$7*100, )</f>
        <v>0</v>
      </c>
      <c r="D111" s="51"/>
      <c r="E111" s="85">
        <f t="array" ref="E111">IF(SUM('Entrada Prod (semanal)'!E$3:E$108)&gt;0,('Entrada Prod (semanal)'!E103)/7/B111*100,IF(SUM('Entrada Prod (semanal)'!$G$3:$G$108)&gt;0,('Entrada Prod (semanal)'!G103), ))</f>
        <v>0</v>
      </c>
      <c r="F111" s="134"/>
      <c r="G111" s="169">
        <f t="array" ref="G111">IF(SUM('Entrada Prod (semanal)'!F$3:F$108)&gt;0,('Entrada Prod (semanal)'!F103)/7/B111*100,IF(SUM('Entrada Prod (semanal)'!$H$3:$H$108)&gt;0,('Entrada Prod (semanal)'!H103), ))</f>
        <v>0</v>
      </c>
      <c r="H111" s="61">
        <f t="shared" si="48"/>
        <v>0</v>
      </c>
      <c r="I111" s="145">
        <f t="shared" si="47"/>
        <v>0</v>
      </c>
      <c r="J111" s="169">
        <f t="shared" si="47"/>
        <v>0</v>
      </c>
      <c r="K111" s="61">
        <f>IF(ISNUMBER('Entrada Prod (semanal)'!I103),'Entrada Prod (semanal)'!I103,K110)</f>
        <v>0</v>
      </c>
      <c r="L111" s="43"/>
      <c r="M111" s="36">
        <f>IF(H111&lt;&gt;0,SUMPRODUCT(($K$11:K111)*($X$11:X111)/H111),0)</f>
        <v>0</v>
      </c>
      <c r="N111" s="60">
        <f>IF(I111&lt;&gt;0,SUMPRODUCT(($L$11:L111)*($Y$11:Y111)/I111),0)</f>
        <v>0</v>
      </c>
      <c r="O111" s="61">
        <f t="shared" si="28"/>
        <v>0</v>
      </c>
      <c r="P111" s="109">
        <f t="shared" si="29"/>
        <v>0</v>
      </c>
      <c r="Q111" s="102">
        <f t="shared" si="36"/>
        <v>0</v>
      </c>
      <c r="R111" s="103">
        <f t="shared" si="37"/>
        <v>28.015435454999977</v>
      </c>
      <c r="S111" s="85">
        <f t="shared" si="30"/>
        <v>0</v>
      </c>
      <c r="T111" s="136" t="str">
        <f t="shared" si="31"/>
        <v/>
      </c>
      <c r="U111" s="169">
        <f t="shared" si="32"/>
        <v>0</v>
      </c>
      <c r="V111" s="352">
        <f t="shared" si="44"/>
        <v>0</v>
      </c>
      <c r="W111" s="352">
        <f t="shared" si="45"/>
        <v>0</v>
      </c>
      <c r="X111" s="357">
        <f t="shared" si="49"/>
        <v>0</v>
      </c>
      <c r="Y111" s="357">
        <f t="shared" si="39"/>
        <v>0</v>
      </c>
      <c r="Z111" s="357" t="str">
        <f t="shared" si="33"/>
        <v/>
      </c>
      <c r="AA111" s="357" t="str">
        <f t="shared" si="34"/>
        <v/>
      </c>
      <c r="AB111" s="350">
        <f t="shared" si="43"/>
        <v>0</v>
      </c>
      <c r="AC111" s="350">
        <f t="shared" si="50"/>
        <v>100</v>
      </c>
      <c r="AD111" s="350">
        <f t="shared" si="51"/>
        <v>0</v>
      </c>
      <c r="AE111" s="357">
        <f t="shared" si="52"/>
        <v>0</v>
      </c>
    </row>
    <row r="112" spans="1:31" x14ac:dyDescent="0.25">
      <c r="A112" s="271">
        <v>116</v>
      </c>
      <c r="B112" s="49">
        <f t="array" ref="B112">IF(SUM('Entrada Prod (semanal)'!C$3:C$108)&gt;0,$Q$7-SUM('Entrada Prod (semanal)'!C$3:C104),IF(SUM('Entrada Prod (semanal)'!$D$3:D209)&gt;0,$Q$7-SUM('Entrada Prod (semanal)'!$D$3:D104)/100*$Q$7,$Q$7))</f>
        <v>0</v>
      </c>
      <c r="C112" s="37">
        <f>IF((Info!$J$5&gt;0),B112/$Q$7*100, )</f>
        <v>0</v>
      </c>
      <c r="D112" s="54"/>
      <c r="E112" s="86">
        <f t="array" ref="E112">IF(SUM('Entrada Prod (semanal)'!E$3:E$108)&gt;0,('Entrada Prod (semanal)'!E104)/7/B112*100,IF(SUM('Entrada Prod (semanal)'!$G$3:$G$108)&gt;0,('Entrada Prod (semanal)'!G104), ))</f>
        <v>0</v>
      </c>
      <c r="F112" s="158"/>
      <c r="G112" s="170">
        <f t="array" ref="G112">IF(SUM('Entrada Prod (semanal)'!F$3:F$108)&gt;0,('Entrada Prod (semanal)'!F104)/7/B112*100,IF(SUM('Entrada Prod (semanal)'!$H$3:$H$108)&gt;0,('Entrada Prod (semanal)'!H104), ))</f>
        <v>0</v>
      </c>
      <c r="H112" s="62">
        <f t="shared" si="48"/>
        <v>0</v>
      </c>
      <c r="I112" s="146">
        <f t="shared" si="47"/>
        <v>0</v>
      </c>
      <c r="J112" s="170">
        <f t="shared" si="47"/>
        <v>0</v>
      </c>
      <c r="K112" s="62">
        <f>IF(ISNUMBER('Entrada Prod (semanal)'!I104),'Entrada Prod (semanal)'!I104,K111)</f>
        <v>0</v>
      </c>
      <c r="L112" s="44"/>
      <c r="M112" s="37">
        <f>IF(H112&lt;&gt;0,SUMPRODUCT(($K$11:K112)*($X$11:X112)/H112),0)</f>
        <v>0</v>
      </c>
      <c r="N112" s="63">
        <f>IF(I112&lt;&gt;0,SUMPRODUCT(($L$11:L112)*($Y$11:Y112)/I112),0)</f>
        <v>0</v>
      </c>
      <c r="O112" s="62">
        <f t="shared" si="28"/>
        <v>0</v>
      </c>
      <c r="P112" s="113">
        <f t="shared" si="29"/>
        <v>0</v>
      </c>
      <c r="Q112" s="104">
        <f t="shared" si="36"/>
        <v>0</v>
      </c>
      <c r="R112" s="105">
        <f t="shared" si="37"/>
        <v>28.015435454999977</v>
      </c>
      <c r="S112" s="86">
        <f t="shared" si="30"/>
        <v>0</v>
      </c>
      <c r="T112" s="141" t="str">
        <f t="shared" si="31"/>
        <v/>
      </c>
      <c r="U112" s="170">
        <f t="shared" si="32"/>
        <v>0</v>
      </c>
      <c r="V112" s="352">
        <f t="shared" si="44"/>
        <v>0</v>
      </c>
      <c r="W112" s="352">
        <f t="shared" si="45"/>
        <v>0</v>
      </c>
      <c r="X112" s="357">
        <f t="shared" si="49"/>
        <v>0</v>
      </c>
      <c r="Y112" s="357">
        <f t="shared" si="39"/>
        <v>0</v>
      </c>
      <c r="Z112" s="357" t="str">
        <f t="shared" si="33"/>
        <v/>
      </c>
      <c r="AA112" s="357" t="str">
        <f t="shared" si="34"/>
        <v/>
      </c>
      <c r="AB112" s="350">
        <f t="shared" si="43"/>
        <v>0</v>
      </c>
      <c r="AC112" s="350">
        <f t="shared" si="50"/>
        <v>100</v>
      </c>
      <c r="AD112" s="350">
        <f t="shared" si="51"/>
        <v>0</v>
      </c>
      <c r="AE112" s="357">
        <f t="shared" si="52"/>
        <v>0</v>
      </c>
    </row>
    <row r="113" spans="1:32" x14ac:dyDescent="0.25">
      <c r="A113" s="270">
        <v>117</v>
      </c>
      <c r="B113" s="48">
        <f t="array" ref="B113">IF(SUM('Entrada Prod (semanal)'!C$3:C$108)&gt;0,$Q$7-SUM('Entrada Prod (semanal)'!C$3:C105),IF(SUM('Entrada Prod (semanal)'!$D$3:D210)&gt;0,$Q$7-SUM('Entrada Prod (semanal)'!$D$3:D105)/100*$Q$7,$Q$7))</f>
        <v>0</v>
      </c>
      <c r="C113" s="36">
        <f>IF((Info!$J$5&gt;0),B113/$Q$7*100, )</f>
        <v>0</v>
      </c>
      <c r="D113" s="51"/>
      <c r="E113" s="85">
        <f t="array" ref="E113">IF(SUM('Entrada Prod (semanal)'!E$3:E$108)&gt;0,('Entrada Prod (semanal)'!E105)/7/B113*100,IF(SUM('Entrada Prod (semanal)'!$G$3:$G$108)&gt;0,('Entrada Prod (semanal)'!G105), ))</f>
        <v>0</v>
      </c>
      <c r="F113" s="134"/>
      <c r="G113" s="169">
        <f t="array" ref="G113">IF(SUM('Entrada Prod (semanal)'!F$3:F$108)&gt;0,('Entrada Prod (semanal)'!F105)/7/B113*100,IF(SUM('Entrada Prod (semanal)'!$H$3:$H$108)&gt;0,('Entrada Prod (semanal)'!H105), ))</f>
        <v>0</v>
      </c>
      <c r="H113" s="61">
        <f t="shared" si="48"/>
        <v>0</v>
      </c>
      <c r="I113" s="145">
        <f t="shared" si="47"/>
        <v>0</v>
      </c>
      <c r="J113" s="169">
        <f t="shared" si="47"/>
        <v>0</v>
      </c>
      <c r="K113" s="61">
        <f>IF(ISNUMBER('Entrada Prod (semanal)'!I105),'Entrada Prod (semanal)'!I105,K112)</f>
        <v>0</v>
      </c>
      <c r="L113" s="43"/>
      <c r="M113" s="36">
        <f>IF(H113&lt;&gt;0,SUMPRODUCT(($K$11:K113)*($X$11:X113)/H113),0)</f>
        <v>0</v>
      </c>
      <c r="N113" s="60">
        <f>IF(I113&lt;&gt;0,SUMPRODUCT(($L$11:L113)*($Y$11:Y113)/I113),0)</f>
        <v>0</v>
      </c>
      <c r="O113" s="61">
        <f t="shared" si="28"/>
        <v>0</v>
      </c>
      <c r="P113" s="109">
        <f t="shared" si="29"/>
        <v>0</v>
      </c>
      <c r="Q113" s="102">
        <f t="shared" si="36"/>
        <v>0</v>
      </c>
      <c r="R113" s="103">
        <f t="shared" si="37"/>
        <v>28.015435454999977</v>
      </c>
      <c r="S113" s="85">
        <f t="shared" si="30"/>
        <v>0</v>
      </c>
      <c r="T113" s="136" t="str">
        <f t="shared" si="31"/>
        <v/>
      </c>
      <c r="U113" s="169">
        <f t="shared" si="32"/>
        <v>0</v>
      </c>
      <c r="V113" s="352">
        <f t="shared" si="44"/>
        <v>0</v>
      </c>
      <c r="W113" s="352">
        <f t="shared" si="45"/>
        <v>0</v>
      </c>
      <c r="X113" s="357">
        <f t="shared" si="49"/>
        <v>0</v>
      </c>
      <c r="Y113" s="357">
        <f t="shared" si="39"/>
        <v>0</v>
      </c>
      <c r="Z113" s="357" t="str">
        <f t="shared" si="33"/>
        <v/>
      </c>
      <c r="AA113" s="357" t="str">
        <f t="shared" si="34"/>
        <v/>
      </c>
      <c r="AB113" s="350">
        <f t="shared" si="43"/>
        <v>0</v>
      </c>
      <c r="AC113" s="350">
        <f t="shared" si="50"/>
        <v>100</v>
      </c>
      <c r="AD113" s="350">
        <f t="shared" si="51"/>
        <v>0</v>
      </c>
      <c r="AE113" s="357">
        <f t="shared" si="52"/>
        <v>0</v>
      </c>
    </row>
    <row r="114" spans="1:32" x14ac:dyDescent="0.25">
      <c r="A114" s="270">
        <v>118</v>
      </c>
      <c r="B114" s="48">
        <f t="array" ref="B114">IF(SUM('Entrada Prod (semanal)'!C$3:C$108)&gt;0,$Q$7-SUM('Entrada Prod (semanal)'!C$3:C106),IF(SUM('Entrada Prod (semanal)'!$D$3:D211)&gt;0,$Q$7-SUM('Entrada Prod (semanal)'!$D$3:D106)/100*$Q$7,$Q$7))</f>
        <v>0</v>
      </c>
      <c r="C114" s="36">
        <f>IF((Info!$J$5&gt;0),B114/$Q$7*100, )</f>
        <v>0</v>
      </c>
      <c r="D114" s="51"/>
      <c r="E114" s="85">
        <f t="array" ref="E114">IF(SUM('Entrada Prod (semanal)'!E$3:E$108)&gt;0,('Entrada Prod (semanal)'!E106)/7/B114*100,IF(SUM('Entrada Prod (semanal)'!$G$3:$G$108)&gt;0,('Entrada Prod (semanal)'!G106), ))</f>
        <v>0</v>
      </c>
      <c r="F114" s="134"/>
      <c r="G114" s="169">
        <f t="array" ref="G114">IF(SUM('Entrada Prod (semanal)'!F$3:F$108)&gt;0,('Entrada Prod (semanal)'!F106)/7/B114*100,IF(SUM('Entrada Prod (semanal)'!$H$3:$H$108)&gt;0,('Entrada Prod (semanal)'!H106), ))</f>
        <v>0</v>
      </c>
      <c r="H114" s="61">
        <f t="shared" si="48"/>
        <v>0</v>
      </c>
      <c r="I114" s="145">
        <f t="shared" si="47"/>
        <v>0</v>
      </c>
      <c r="J114" s="169">
        <f t="shared" si="47"/>
        <v>0</v>
      </c>
      <c r="K114" s="61">
        <f>IF(ISNUMBER('Entrada Prod (semanal)'!I106),'Entrada Prod (semanal)'!I106,K113)</f>
        <v>0</v>
      </c>
      <c r="L114" s="43"/>
      <c r="M114" s="36">
        <f>IF(H114&lt;&gt;0,SUMPRODUCT(($K$11:K114)*($X$11:X114)/H114),0)</f>
        <v>0</v>
      </c>
      <c r="N114" s="60">
        <f>IF(I114&lt;&gt;0,SUMPRODUCT(($L$11:L114)*($Y$11:Y114)/I114),0)</f>
        <v>0</v>
      </c>
      <c r="O114" s="61">
        <f t="shared" si="28"/>
        <v>0</v>
      </c>
      <c r="P114" s="109">
        <f t="shared" si="29"/>
        <v>0</v>
      </c>
      <c r="Q114" s="102">
        <f t="shared" si="36"/>
        <v>0</v>
      </c>
      <c r="R114" s="103">
        <f t="shared" si="37"/>
        <v>28.015435454999977</v>
      </c>
      <c r="S114" s="85">
        <f t="shared" si="30"/>
        <v>0</v>
      </c>
      <c r="T114" s="136" t="str">
        <f t="shared" si="31"/>
        <v/>
      </c>
      <c r="U114" s="169">
        <f t="shared" si="32"/>
        <v>0</v>
      </c>
      <c r="V114" s="352">
        <f t="shared" si="44"/>
        <v>0</v>
      </c>
      <c r="W114" s="352">
        <f t="shared" si="45"/>
        <v>0</v>
      </c>
      <c r="X114" s="357">
        <f t="shared" si="49"/>
        <v>0</v>
      </c>
      <c r="Y114" s="357">
        <f t="shared" si="39"/>
        <v>0</v>
      </c>
      <c r="Z114" s="357" t="str">
        <f t="shared" si="33"/>
        <v/>
      </c>
      <c r="AA114" s="357" t="str">
        <f t="shared" si="34"/>
        <v/>
      </c>
      <c r="AB114" s="350">
        <f t="shared" si="43"/>
        <v>0</v>
      </c>
      <c r="AC114" s="350">
        <f t="shared" si="50"/>
        <v>100</v>
      </c>
      <c r="AD114" s="350">
        <f t="shared" si="51"/>
        <v>0</v>
      </c>
      <c r="AE114" s="357">
        <f t="shared" si="52"/>
        <v>0</v>
      </c>
    </row>
    <row r="115" spans="1:32" x14ac:dyDescent="0.25">
      <c r="A115" s="270">
        <v>119</v>
      </c>
      <c r="B115" s="48">
        <f t="array" ref="B115">IF(SUM('Entrada Prod (semanal)'!C$3:C$108)&gt;0,$Q$7-SUM('Entrada Prod (semanal)'!C$3:C107),IF(SUM('Entrada Prod (semanal)'!$D$3:D212)&gt;0,$Q$7-SUM('Entrada Prod (semanal)'!$D$3:D107)/100*$Q$7,$Q$7))</f>
        <v>0</v>
      </c>
      <c r="C115" s="36">
        <f>IF((Info!$J$5&gt;0),B115/$Q$7*100, )</f>
        <v>0</v>
      </c>
      <c r="D115" s="51"/>
      <c r="E115" s="85">
        <f t="array" ref="E115">IF(SUM('Entrada Prod (semanal)'!E$3:E$108)&gt;0,('Entrada Prod (semanal)'!E107)/7/B115*100,IF(SUM('Entrada Prod (semanal)'!$G$3:$G$108)&gt;0,('Entrada Prod (semanal)'!G107), ))</f>
        <v>0</v>
      </c>
      <c r="F115" s="134"/>
      <c r="G115" s="169">
        <f t="array" ref="G115">IF(SUM('Entrada Prod (semanal)'!F$3:F$108)&gt;0,('Entrada Prod (semanal)'!F107)/7/B115*100,IF(SUM('Entrada Prod (semanal)'!$H$3:$H$108)&gt;0,('Entrada Prod (semanal)'!H107), ))</f>
        <v>0</v>
      </c>
      <c r="H115" s="61">
        <f t="shared" si="48"/>
        <v>0</v>
      </c>
      <c r="I115" s="145">
        <f t="shared" si="47"/>
        <v>0</v>
      </c>
      <c r="J115" s="169">
        <f t="shared" si="47"/>
        <v>0</v>
      </c>
      <c r="K115" s="61">
        <f>IF(ISNUMBER('Entrada Prod (semanal)'!I107),'Entrada Prod (semanal)'!I107,K114)</f>
        <v>0</v>
      </c>
      <c r="L115" s="43"/>
      <c r="M115" s="36">
        <f>IF(H115&lt;&gt;0,SUMPRODUCT(($K$11:K115)*($X$11:X115)/H115),0)</f>
        <v>0</v>
      </c>
      <c r="N115" s="60">
        <f>IF(I115&lt;&gt;0,SUMPRODUCT(($L$11:L115)*($Y$11:Y115)/I115),0)</f>
        <v>0</v>
      </c>
      <c r="O115" s="61">
        <f t="shared" si="28"/>
        <v>0</v>
      </c>
      <c r="P115" s="109">
        <f t="shared" si="29"/>
        <v>0</v>
      </c>
      <c r="Q115" s="102">
        <f t="shared" si="36"/>
        <v>0</v>
      </c>
      <c r="R115" s="103">
        <f t="shared" si="37"/>
        <v>28.015435454999977</v>
      </c>
      <c r="S115" s="85">
        <f t="shared" si="30"/>
        <v>0</v>
      </c>
      <c r="T115" s="136" t="str">
        <f t="shared" si="31"/>
        <v/>
      </c>
      <c r="U115" s="169">
        <f t="shared" si="32"/>
        <v>0</v>
      </c>
      <c r="V115" s="352">
        <f t="shared" si="44"/>
        <v>0</v>
      </c>
      <c r="W115" s="352">
        <f t="shared" si="45"/>
        <v>0</v>
      </c>
      <c r="X115" s="357">
        <f t="shared" si="49"/>
        <v>0</v>
      </c>
      <c r="Y115" s="357">
        <f t="shared" si="39"/>
        <v>0</v>
      </c>
      <c r="Z115" s="357" t="str">
        <f t="shared" si="33"/>
        <v/>
      </c>
      <c r="AA115" s="357" t="str">
        <f t="shared" si="34"/>
        <v/>
      </c>
      <c r="AB115" s="350">
        <f t="shared" si="43"/>
        <v>0</v>
      </c>
      <c r="AC115" s="350">
        <f t="shared" si="50"/>
        <v>100</v>
      </c>
      <c r="AD115" s="350">
        <f t="shared" si="51"/>
        <v>0</v>
      </c>
      <c r="AE115" s="357">
        <f t="shared" si="52"/>
        <v>0</v>
      </c>
    </row>
    <row r="116" spans="1:32" ht="13.8" thickBot="1" x14ac:dyDescent="0.3">
      <c r="A116" s="272">
        <v>120</v>
      </c>
      <c r="B116" s="55">
        <f t="array" ref="B116">IF(SUM('Entrada Prod (semanal)'!C$3:C$108)&gt;0,$Q$7-SUM('Entrada Prod (semanal)'!C$3:C108),IF(SUM('Entrada Prod (semanal)'!$D$3:D213)&gt;0,$Q$7-SUM('Entrada Prod (semanal)'!$D$3:D108)/100*$Q$7,$Q$7))</f>
        <v>0</v>
      </c>
      <c r="C116" s="56">
        <f>IF((Info!$J$5&gt;0),B116/$Q$7*100, )</f>
        <v>0</v>
      </c>
      <c r="D116" s="57"/>
      <c r="E116" s="87">
        <f t="array" ref="E116">IF(SUM('Entrada Prod (semanal)'!E$3:E$108)&gt;0,('Entrada Prod (semanal)'!E108)/7/B116*100,IF(SUM('Entrada Prod (semanal)'!$G$3:$G$108)&gt;0,('Entrada Prod (semanal)'!G108), ))</f>
        <v>0</v>
      </c>
      <c r="F116" s="159"/>
      <c r="G116" s="171">
        <f t="array" ref="G116">IF(SUM('Entrada Prod (semanal)'!F$3:F$108)&gt;0,('Entrada Prod (semanal)'!F108)/7/B116*100,IF(SUM('Entrada Prod (semanal)'!$H$3:$H$108)&gt;0,('Entrada Prod (semanal)'!H108), ))</f>
        <v>0</v>
      </c>
      <c r="H116" s="64">
        <f t="shared" si="48"/>
        <v>0</v>
      </c>
      <c r="I116" s="147">
        <f t="shared" si="47"/>
        <v>0</v>
      </c>
      <c r="J116" s="171">
        <f t="shared" si="47"/>
        <v>0</v>
      </c>
      <c r="K116" s="64">
        <f>IF(ISNUMBER('Entrada Prod (semanal)'!I108),'Entrada Prod (semanal)'!I108,K115)</f>
        <v>0</v>
      </c>
      <c r="L116" s="58"/>
      <c r="M116" s="56">
        <f>IF(H116&lt;&gt;0,SUMPRODUCT(($K$11:K116)*($X$11:X116)/H116),0)</f>
        <v>0</v>
      </c>
      <c r="N116" s="65">
        <f>IF(I116&lt;&gt;0,SUMPRODUCT(($L$11:L116)*($Y$11:Y116)/I116),0)</f>
        <v>0</v>
      </c>
      <c r="O116" s="64">
        <f t="shared" si="28"/>
        <v>0</v>
      </c>
      <c r="P116" s="114">
        <f t="shared" si="29"/>
        <v>0</v>
      </c>
      <c r="Q116" s="106">
        <f t="shared" si="36"/>
        <v>0</v>
      </c>
      <c r="R116" s="107">
        <f t="shared" si="37"/>
        <v>28.015435454999977</v>
      </c>
      <c r="S116" s="87">
        <f t="shared" si="30"/>
        <v>0</v>
      </c>
      <c r="T116" s="142" t="str">
        <f t="shared" si="31"/>
        <v/>
      </c>
      <c r="U116" s="171">
        <f t="shared" si="32"/>
        <v>0</v>
      </c>
      <c r="V116" s="352">
        <f t="shared" si="44"/>
        <v>0</v>
      </c>
      <c r="W116" s="352">
        <f t="shared" si="45"/>
        <v>0</v>
      </c>
      <c r="X116" s="357">
        <f t="shared" si="49"/>
        <v>0</v>
      </c>
      <c r="Y116" s="357">
        <f t="shared" si="39"/>
        <v>0</v>
      </c>
      <c r="Z116" s="357" t="str">
        <f t="shared" si="33"/>
        <v/>
      </c>
      <c r="AA116" s="357" t="str">
        <f t="shared" si="34"/>
        <v/>
      </c>
      <c r="AB116" s="350">
        <f t="shared" si="43"/>
        <v>0</v>
      </c>
      <c r="AC116" s="350">
        <f t="shared" si="50"/>
        <v>100</v>
      </c>
      <c r="AD116" s="350">
        <f t="shared" si="51"/>
        <v>0</v>
      </c>
      <c r="AE116" s="357">
        <f t="shared" si="52"/>
        <v>0</v>
      </c>
    </row>
    <row r="117" spans="1:32" ht="13.8" thickTop="1" x14ac:dyDescent="0.25">
      <c r="M117" s="18"/>
      <c r="Z117" s="358">
        <f>COUNT(Z11:Z76)</f>
        <v>0</v>
      </c>
      <c r="AA117" s="358">
        <f>COUNT(AA11:AA76)</f>
        <v>0</v>
      </c>
      <c r="AB117" s="350"/>
      <c r="AC117" s="350"/>
      <c r="AF117" s="284"/>
    </row>
    <row r="118" spans="1:32" x14ac:dyDescent="0.25">
      <c r="A118" s="17" t="s">
        <v>10</v>
      </c>
      <c r="M118" s="18"/>
    </row>
    <row r="119" spans="1:32" x14ac:dyDescent="0.25">
      <c r="M119" s="18"/>
    </row>
    <row r="120" spans="1:32" x14ac:dyDescent="0.25">
      <c r="M120" s="18"/>
    </row>
    <row r="121" spans="1:32" x14ac:dyDescent="0.25">
      <c r="M121" s="18"/>
    </row>
    <row r="122" spans="1:32" x14ac:dyDescent="0.25">
      <c r="M122" s="18"/>
    </row>
    <row r="123" spans="1:32" x14ac:dyDescent="0.25">
      <c r="M123" s="18"/>
    </row>
    <row r="124" spans="1:32" x14ac:dyDescent="0.25">
      <c r="M124" s="18"/>
    </row>
    <row r="125" spans="1:32" x14ac:dyDescent="0.25">
      <c r="M125" s="18"/>
    </row>
    <row r="126" spans="1:32" x14ac:dyDescent="0.25">
      <c r="M126" s="18"/>
    </row>
    <row r="127" spans="1:32" x14ac:dyDescent="0.25">
      <c r="M127" s="18"/>
    </row>
    <row r="128" spans="1:32" x14ac:dyDescent="0.25">
      <c r="M128" s="18"/>
    </row>
    <row r="129" spans="13:13" x14ac:dyDescent="0.25">
      <c r="M129" s="18"/>
    </row>
    <row r="130" spans="13:13" x14ac:dyDescent="0.25">
      <c r="M130" s="18"/>
    </row>
    <row r="131" spans="13:13" x14ac:dyDescent="0.25">
      <c r="M131" s="18"/>
    </row>
    <row r="132" spans="13:13" x14ac:dyDescent="0.25">
      <c r="M132" s="18"/>
    </row>
    <row r="133" spans="13:13" x14ac:dyDescent="0.25">
      <c r="M133" s="18"/>
    </row>
    <row r="134" spans="13:13" x14ac:dyDescent="0.25">
      <c r="M134" s="18"/>
    </row>
    <row r="135" spans="13:13" x14ac:dyDescent="0.25">
      <c r="M135" s="18"/>
    </row>
    <row r="136" spans="13:13" x14ac:dyDescent="0.25">
      <c r="M136" s="18"/>
    </row>
    <row r="137" spans="13:13" x14ac:dyDescent="0.25">
      <c r="M137" s="18"/>
    </row>
    <row r="138" spans="13:13" x14ac:dyDescent="0.25">
      <c r="M138" s="18"/>
    </row>
    <row r="139" spans="13:13" x14ac:dyDescent="0.25">
      <c r="M139" s="18"/>
    </row>
    <row r="140" spans="13:13" x14ac:dyDescent="0.25">
      <c r="M140" s="18"/>
    </row>
    <row r="141" spans="13:13" x14ac:dyDescent="0.25">
      <c r="M141" s="18"/>
    </row>
    <row r="142" spans="13:13" x14ac:dyDescent="0.25">
      <c r="M142" s="18"/>
    </row>
    <row r="143" spans="13:13" x14ac:dyDescent="0.25">
      <c r="M143" s="18"/>
    </row>
    <row r="144" spans="13:13" x14ac:dyDescent="0.25">
      <c r="M144" s="18"/>
    </row>
  </sheetData>
  <sheetProtection password="EA71" sheet="1" objects="1" scenarios="1"/>
  <printOptions horizontalCentered="1" verticalCentered="1"/>
  <pageMargins left="0.59055118110236227" right="0.59055118110236227" top="0.78740157480314965" bottom="0.78740157480314965" header="0.39370078740157483" footer="0.39370078740157483"/>
  <pageSetup paperSize="9" scale="64" fitToHeight="2" orientation="portrait" horizontalDpi="300" verticalDpi="300" r:id="rId1"/>
  <headerFooter alignWithMargins="0">
    <oddHeader>&amp;C&amp;"Arial,Fett"&amp;16LOHMANN BROWN Classic Layers
- Production -</oddHeader>
    <oddFooter>&amp;Lltzaf0915&amp;R&amp;12&amp;F, &amp;D</oddFooter>
  </headerFooter>
  <rowBreaks count="1" manualBreakCount="1">
    <brk id="68" max="2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431"/>
  <sheetViews>
    <sheetView showGridLines="0" topLeftCell="A9" zoomScaleNormal="100" workbookViewId="0">
      <pane xSplit="1" ySplit="2" topLeftCell="B41" activePane="bottomRight" state="frozen"/>
      <selection activeCell="A9" sqref="A9"/>
      <selection pane="topRight" activeCell="B9" sqref="B9"/>
      <selection pane="bottomLeft" activeCell="A11" sqref="A11"/>
      <selection pane="bottomRight" activeCell="B11" sqref="B11"/>
    </sheetView>
  </sheetViews>
  <sheetFormatPr baseColWidth="10" defaultColWidth="11.44140625" defaultRowHeight="13.2" x14ac:dyDescent="0.25"/>
  <cols>
    <col min="1" max="1" width="7.33203125" style="17" customWidth="1"/>
    <col min="2" max="2" width="8.6640625" style="18" customWidth="1"/>
    <col min="3" max="3" width="8.6640625" style="21" customWidth="1"/>
    <col min="4" max="4" width="8.6640625" style="18" customWidth="1"/>
    <col min="5" max="5" width="8.6640625" style="19" customWidth="1"/>
    <col min="6" max="8" width="8.6640625" style="18" customWidth="1"/>
    <col min="9" max="9" width="8.6640625" style="21" customWidth="1"/>
    <col min="10" max="10" width="9.88671875" style="21" customWidth="1"/>
    <col min="11" max="12" width="8.6640625" style="21" customWidth="1"/>
    <col min="13" max="17" width="11.44140625" style="345"/>
    <col min="18" max="20" width="11.44140625" style="342"/>
    <col min="21" max="16384" width="11.44140625" style="21"/>
  </cols>
  <sheetData>
    <row r="1" spans="1:22" ht="17.399999999999999" x14ac:dyDescent="0.3">
      <c r="C1" s="30" t="str">
        <f>Info!E1</f>
        <v>LOHMANN BROWN Classic Ponedoras</v>
      </c>
    </row>
    <row r="3" spans="1:22" ht="15.6" x14ac:dyDescent="0.3">
      <c r="A3" s="22" t="str">
        <f>Info!A3</f>
        <v>País:</v>
      </c>
      <c r="B3" s="5"/>
      <c r="C3" s="23">
        <f>Info!B3</f>
        <v>0</v>
      </c>
      <c r="D3" s="31"/>
      <c r="E3" s="32"/>
      <c r="F3" s="24" t="str">
        <f>Traducción!B12</f>
        <v>Fecha de Nacimiento:</v>
      </c>
      <c r="G3" s="21"/>
      <c r="H3" s="25"/>
      <c r="I3" s="5"/>
      <c r="J3" s="88">
        <f>Info!J3</f>
        <v>0</v>
      </c>
      <c r="K3" s="31"/>
      <c r="L3" s="32"/>
    </row>
    <row r="4" spans="1:22" ht="15.6" x14ac:dyDescent="0.3">
      <c r="A4" s="22" t="str">
        <f>Info!A4</f>
        <v>Proprietario:</v>
      </c>
      <c r="B4" s="5"/>
      <c r="C4" s="23">
        <f>Info!B4</f>
        <v>0</v>
      </c>
      <c r="D4" s="31"/>
      <c r="E4" s="32"/>
      <c r="F4" s="24" t="str">
        <f>Traducción!B16</f>
        <v>Fecha 18 Sem. + 0:</v>
      </c>
      <c r="G4" s="21"/>
      <c r="H4" s="25"/>
      <c r="I4" s="5"/>
      <c r="J4" s="88">
        <f>Info!D28</f>
        <v>0</v>
      </c>
      <c r="K4" s="31"/>
      <c r="L4" s="32"/>
    </row>
    <row r="5" spans="1:22" ht="15.6" x14ac:dyDescent="0.3">
      <c r="A5" s="22" t="str">
        <f>Info!A5</f>
        <v>Granja:</v>
      </c>
      <c r="B5" s="5"/>
      <c r="C5" s="23">
        <f>Info!B5</f>
        <v>0</v>
      </c>
      <c r="D5" s="31"/>
      <c r="E5" s="32"/>
      <c r="F5" s="24" t="str">
        <f>Traducción!B17</f>
        <v>No. de Aves con 18 Sem.:</v>
      </c>
      <c r="G5" s="21"/>
      <c r="H5" s="25"/>
      <c r="I5" s="5"/>
      <c r="J5" s="23">
        <f>Info!D29</f>
        <v>0</v>
      </c>
      <c r="K5" s="31"/>
      <c r="L5" s="32"/>
    </row>
    <row r="6" spans="1:22" ht="15.6" x14ac:dyDescent="0.3">
      <c r="A6" s="22" t="str">
        <f>Info!A6</f>
        <v>Lote:</v>
      </c>
      <c r="B6" s="5"/>
      <c r="C6" s="23">
        <f>Info!B6</f>
        <v>0</v>
      </c>
      <c r="D6" s="31"/>
      <c r="E6" s="32"/>
      <c r="F6" s="24" t="str">
        <f>Traducción!B13</f>
        <v>Fecha de Alojamiento:</v>
      </c>
      <c r="G6" s="21"/>
      <c r="H6" s="25"/>
      <c r="I6" s="5"/>
      <c r="J6" s="88">
        <f>Info!J28</f>
        <v>0</v>
      </c>
      <c r="K6" s="31"/>
      <c r="L6" s="32"/>
    </row>
    <row r="7" spans="1:22" ht="15.6" x14ac:dyDescent="0.3">
      <c r="A7" s="22"/>
      <c r="B7" s="22"/>
      <c r="C7" s="22"/>
      <c r="D7" s="22"/>
      <c r="E7" s="22"/>
      <c r="F7" s="24" t="str">
        <f>Traducción!B14</f>
        <v>No. de Aves Alojadas:</v>
      </c>
      <c r="G7" s="21"/>
      <c r="H7" s="25"/>
      <c r="I7" s="5"/>
      <c r="J7" s="88">
        <f>Info!J29</f>
        <v>0</v>
      </c>
      <c r="K7" s="31"/>
      <c r="L7" s="32"/>
    </row>
    <row r="8" spans="1:22" ht="16.2" thickBot="1" x14ac:dyDescent="0.35">
      <c r="A8" s="22"/>
      <c r="B8" s="22"/>
      <c r="C8" s="22"/>
      <c r="D8" s="22"/>
      <c r="E8" s="24"/>
      <c r="I8" s="18"/>
    </row>
    <row r="9" spans="1:22" ht="13.8" thickTop="1" x14ac:dyDescent="0.25">
      <c r="A9" s="245"/>
      <c r="B9" s="253"/>
      <c r="C9" s="248" t="str">
        <f>Traducción!B76</f>
        <v>Consumo de Pienso y Agua</v>
      </c>
      <c r="D9" s="246"/>
      <c r="E9" s="246"/>
      <c r="F9" s="246"/>
      <c r="G9" s="278"/>
      <c r="H9" s="245" t="str">
        <f>Traducción!B77</f>
        <v>Conversión</v>
      </c>
      <c r="I9" s="256"/>
      <c r="J9" s="245" t="str">
        <f>Traducción!B79</f>
        <v>Peso Corporal</v>
      </c>
      <c r="K9" s="253"/>
      <c r="L9" s="256"/>
      <c r="U9" s="84"/>
      <c r="V9" s="84"/>
    </row>
    <row r="10" spans="1:22" s="26" customFormat="1" ht="51" customHeight="1" x14ac:dyDescent="0.25">
      <c r="A10" s="259" t="str">
        <f>Traducción!B63</f>
        <v>Sem. de Edad</v>
      </c>
      <c r="B10" s="279" t="str">
        <f>Traducción!B65</f>
        <v>No. de Aves</v>
      </c>
      <c r="C10" s="259" t="str">
        <f>Traducción!B80</f>
        <v>kg por Sem.</v>
      </c>
      <c r="D10" s="280" t="str">
        <f>Traducción!B81</f>
        <v>por Día (g/ave)</v>
      </c>
      <c r="E10" s="280" t="str">
        <f>Traducción!B82</f>
        <v>Pienso Acum.</v>
      </c>
      <c r="F10" s="280" t="str">
        <f>Traducción!B83</f>
        <v>Agua/ día (ml/ave)</v>
      </c>
      <c r="G10" s="280" t="str">
        <f>Traducción!B46</f>
        <v>Agua / Pienso</v>
      </c>
      <c r="H10" s="259" t="str">
        <f>Traducción!B71</f>
        <v>por Sem.</v>
      </c>
      <c r="I10" s="281" t="str">
        <f>Traducción!B72</f>
        <v>Acum.</v>
      </c>
      <c r="J10" s="259" t="str">
        <f>Traducción!B85</f>
        <v>Real (g/10)</v>
      </c>
      <c r="K10" s="279" t="str">
        <f>Traducción!B86</f>
        <v>Estándar (g/10)</v>
      </c>
      <c r="L10" s="70" t="str">
        <f>Traducción!B36</f>
        <v>Otro parám.</v>
      </c>
      <c r="M10" s="346" t="s">
        <v>39</v>
      </c>
      <c r="N10" s="346" t="s">
        <v>40</v>
      </c>
      <c r="O10" s="346" t="s">
        <v>41</v>
      </c>
      <c r="P10" s="347" t="s">
        <v>42</v>
      </c>
      <c r="Q10" s="347" t="s">
        <v>43</v>
      </c>
      <c r="R10" s="343"/>
      <c r="S10" s="343"/>
      <c r="T10" s="343"/>
      <c r="U10" s="34"/>
      <c r="V10" s="34"/>
    </row>
    <row r="11" spans="1:22" s="17" customFormat="1" x14ac:dyDescent="0.25">
      <c r="A11" s="275">
        <v>15</v>
      </c>
      <c r="B11" s="78">
        <f>'Salida Prod'!B11</f>
        <v>0</v>
      </c>
      <c r="C11" s="273">
        <f>IF('Entrada Prod (semanal)'!K3&gt;0,'Entrada Prod (semanal)'!K3,IF('Entrada Prod (semanal)'!L3&gt;0,'Entrada Prod (semanal)'!L3*7*B11/1000, ))</f>
        <v>0</v>
      </c>
      <c r="D11" s="274">
        <f>IF('Entrada Prod (semanal)'!L3&gt;0,'Entrada Prod (semanal)'!L3,IF('Entrada Prod (semanal)'!K3&gt;0,'Entrada Prod (semanal)'!K3*1000/7/B11, ))</f>
        <v>0</v>
      </c>
      <c r="E11" s="78">
        <f>IF(C11&gt;0,SUM(C$11:C11), )</f>
        <v>0</v>
      </c>
      <c r="F11" s="274">
        <f>IF('Entrada Prod (semanal)'!N3&gt;0,'Entrada Prod (semanal)'!N3,IF('Entrada Prod (semanal)'!M3&gt;0,'Entrada Prod (semanal)'!M3*1000/7/B11, ))</f>
        <v>0</v>
      </c>
      <c r="G11" s="99">
        <f>IF(D11&gt;0,IF(F11&gt;0,F11/D11, ), )</f>
        <v>0</v>
      </c>
      <c r="H11" s="153">
        <f>IF($J$7&gt;0,IF('Entrada Prod (semanal)'!I3&gt;0,C11/('Salida Prod'!X11*$J$7*('Salida Prod'!K11/100))*10, ), )</f>
        <v>0</v>
      </c>
      <c r="I11" s="154">
        <f>IF($J$7&gt;0,IF('Entrada Prod (semanal)'!I3&gt;0,E11/('Salida Prod'!H11*$J$7*('Salida Prod'!M11/100))*10, ), )</f>
        <v>0</v>
      </c>
      <c r="J11" s="81">
        <f>IF(ISNUMBER('Entrada Prod (semanal)'!J3),'Entrada Prod (semanal)'!J3/10,"")</f>
        <v>0</v>
      </c>
      <c r="K11" s="188"/>
      <c r="L11" s="154">
        <f>IF(ISNUMBER('Entrada Prod (semanal)'!O3),'Entrada Prod (semanal)'!O3,"")</f>
        <v>0</v>
      </c>
      <c r="M11" s="348">
        <v>122.60799999999999</v>
      </c>
      <c r="N11" s="349">
        <v>130.19200000000001</v>
      </c>
      <c r="O11" s="350">
        <f t="shared" ref="O11:O42" si="0">N11-M11</f>
        <v>7.5840000000000174</v>
      </c>
      <c r="P11" s="351">
        <f>H11</f>
        <v>0</v>
      </c>
      <c r="Q11" s="351">
        <f>I11</f>
        <v>0</v>
      </c>
      <c r="R11" s="344"/>
      <c r="S11" s="344"/>
      <c r="T11" s="344"/>
      <c r="U11" s="157"/>
      <c r="V11" s="157"/>
    </row>
    <row r="12" spans="1:22" s="17" customFormat="1" x14ac:dyDescent="0.25">
      <c r="A12" s="275">
        <v>16</v>
      </c>
      <c r="B12" s="78">
        <f>'Salida Prod'!B12</f>
        <v>0</v>
      </c>
      <c r="C12" s="94">
        <f>IF('Entrada Prod (semanal)'!K4&gt;0,'Entrada Prod (semanal)'!K4,IF('Entrada Prod (semanal)'!L4&gt;0,'Entrada Prod (semanal)'!L4*7*B12/1000, ))</f>
        <v>0</v>
      </c>
      <c r="D12" s="81">
        <f>IF('Entrada Prod (semanal)'!L4&gt;0,'Entrada Prod (semanal)'!L4,IF('Entrada Prod (semanal)'!K4&gt;0,'Entrada Prod (semanal)'!K4*1000/7/B12, ))</f>
        <v>0</v>
      </c>
      <c r="E12" s="78">
        <f>IF(C12&gt;0,SUM(C$11:C12), )</f>
        <v>0</v>
      </c>
      <c r="F12" s="81">
        <f>IF('Entrada Prod (semanal)'!N4&gt;0,'Entrada Prod (semanal)'!N4,IF('Entrada Prod (semanal)'!M4&gt;0,'Entrada Prod (semanal)'!M4*1000/7/B12, ))</f>
        <v>0</v>
      </c>
      <c r="G12" s="99">
        <f t="shared" ref="G12:G27" si="1">IF(D12&gt;0,IF(F12&gt;0,F12/D12, ), )</f>
        <v>0</v>
      </c>
      <c r="H12" s="153">
        <f>IF($J$7&gt;0,IF('Entrada Prod (semanal)'!I4&gt;0,C12/('Salida Prod'!X12*$J$7*('Salida Prod'!K12/100))*10, ), )</f>
        <v>0</v>
      </c>
      <c r="I12" s="154">
        <f>IF($J$7&gt;0,IF('Entrada Prod (semanal)'!I4&gt;0,E12/('Salida Prod'!H12*$J$7*('Salida Prod'!M12/100))*10, ), )</f>
        <v>0</v>
      </c>
      <c r="J12" s="81">
        <f>IF(ISNUMBER('Entrada Prod (semanal)'!J4),'Entrada Prod (semanal)'!J4/10,"")</f>
        <v>0</v>
      </c>
      <c r="K12" s="189"/>
      <c r="L12" s="176">
        <f>IF(ISNUMBER('Entrada Prod (semanal)'!O4),'Entrada Prod (semanal)'!O4,"")</f>
        <v>0</v>
      </c>
      <c r="M12" s="348">
        <v>129.01</v>
      </c>
      <c r="N12" s="349">
        <v>136.99</v>
      </c>
      <c r="O12" s="350">
        <f t="shared" si="0"/>
        <v>7.9800000000000182</v>
      </c>
      <c r="P12" s="351">
        <f t="shared" ref="P12:P43" si="2">IF(H12&gt;0,H12,P11)</f>
        <v>0</v>
      </c>
      <c r="Q12" s="351">
        <f t="shared" ref="Q12:Q43" si="3">IF(I12&gt;0,I12,Q11)</f>
        <v>0</v>
      </c>
      <c r="R12" s="344"/>
      <c r="S12" s="344"/>
      <c r="T12" s="344"/>
      <c r="U12" s="157"/>
      <c r="V12" s="157"/>
    </row>
    <row r="13" spans="1:22" s="17" customFormat="1" x14ac:dyDescent="0.25">
      <c r="A13" s="275">
        <v>17</v>
      </c>
      <c r="B13" s="78">
        <f>'Salida Prod'!B13</f>
        <v>0</v>
      </c>
      <c r="C13" s="94">
        <f>IF('Entrada Prod (semanal)'!K5&gt;0,'Entrada Prod (semanal)'!K5,IF('Entrada Prod (semanal)'!L5&gt;0,'Entrada Prod (semanal)'!L5*7*B13/1000, ))</f>
        <v>0</v>
      </c>
      <c r="D13" s="81">
        <f>IF('Entrada Prod (semanal)'!L5&gt;0,'Entrada Prod (semanal)'!L5,IF('Entrada Prod (semanal)'!K5&gt;0,'Entrada Prod (semanal)'!K5*1000/7/B13, ))</f>
        <v>0</v>
      </c>
      <c r="E13" s="78">
        <f>IF(C13&gt;0,SUM(C$11:C13), )</f>
        <v>0</v>
      </c>
      <c r="F13" s="81">
        <f>IF('Entrada Prod (semanal)'!N5&gt;0,'Entrada Prod (semanal)'!N5,IF('Entrada Prod (semanal)'!M5&gt;0,'Entrada Prod (semanal)'!M5*1000/7/B13, ))</f>
        <v>0</v>
      </c>
      <c r="G13" s="99">
        <f t="shared" si="1"/>
        <v>0</v>
      </c>
      <c r="H13" s="153">
        <f>IF($J$7&gt;0,IF('Entrada Prod (semanal)'!I5&gt;0,C13/('Salida Prod'!X13*$J$7*('Salida Prod'!K13/100))*10, ), )</f>
        <v>0</v>
      </c>
      <c r="I13" s="154">
        <f>IF($J$7&gt;0,IF('Entrada Prod (semanal)'!I5&gt;0,E13/('Salida Prod'!H13*$J$7*('Salida Prod'!M13/100))*10, ), )</f>
        <v>0</v>
      </c>
      <c r="J13" s="81">
        <f>IF(ISNUMBER('Entrada Prod (semanal)'!J5),'Entrada Prod (semanal)'!J5/10,"")</f>
        <v>0</v>
      </c>
      <c r="K13" s="189"/>
      <c r="L13" s="176">
        <f>IF(ISNUMBER('Entrada Prod (semanal)'!O5),'Entrada Prod (semanal)'!O5,"")</f>
        <v>0</v>
      </c>
      <c r="M13" s="348">
        <v>135.80000000000001</v>
      </c>
      <c r="N13" s="349">
        <v>144.19999999999999</v>
      </c>
      <c r="O13" s="350">
        <f t="shared" si="0"/>
        <v>8.3999999999999773</v>
      </c>
      <c r="P13" s="351">
        <f t="shared" si="2"/>
        <v>0</v>
      </c>
      <c r="Q13" s="351">
        <f t="shared" si="3"/>
        <v>0</v>
      </c>
      <c r="R13" s="344"/>
      <c r="S13" s="344"/>
      <c r="T13" s="344"/>
      <c r="U13" s="157"/>
      <c r="V13" s="157"/>
    </row>
    <row r="14" spans="1:22" s="17" customFormat="1" x14ac:dyDescent="0.25">
      <c r="A14" s="275">
        <v>18</v>
      </c>
      <c r="B14" s="78">
        <f>'Salida Prod'!B14</f>
        <v>0</v>
      </c>
      <c r="C14" s="94">
        <f>IF('Entrada Prod (semanal)'!K6&gt;0,'Entrada Prod (semanal)'!K6,IF('Entrada Prod (semanal)'!L6&gt;0,'Entrada Prod (semanal)'!L6*7*B14/1000, ))</f>
        <v>0</v>
      </c>
      <c r="D14" s="81">
        <f>IF('Entrada Prod (semanal)'!L6&gt;0,'Entrada Prod (semanal)'!L6,IF('Entrada Prod (semanal)'!K6&gt;0,'Entrada Prod (semanal)'!K6*1000/7/B14, ))</f>
        <v>0</v>
      </c>
      <c r="E14" s="78">
        <f>IF(C14&gt;0,SUM(C$11:C14), )</f>
        <v>0</v>
      </c>
      <c r="F14" s="81">
        <f>IF('Entrada Prod (semanal)'!N6&gt;0,'Entrada Prod (semanal)'!N6,IF('Entrada Prod (semanal)'!M6&gt;0,'Entrada Prod (semanal)'!M6*1000/7/B14, ))</f>
        <v>0</v>
      </c>
      <c r="G14" s="99">
        <f t="shared" si="1"/>
        <v>0</v>
      </c>
      <c r="H14" s="153">
        <f>IF($J$7&gt;0,IF('Entrada Prod (semanal)'!I6&gt;0,C14/('Salida Prod'!X14*$J$7*('Salida Prod'!K14/100))*10, ), )</f>
        <v>0</v>
      </c>
      <c r="I14" s="154">
        <f>IF($J$7&gt;0,IF('Entrada Prod (semanal)'!I6&gt;0,E14/('Salida Prod'!H14*$J$7*('Salida Prod'!M14/100))*10, ), )</f>
        <v>0</v>
      </c>
      <c r="J14" s="81">
        <f>IF(ISNUMBER('Entrada Prod (semanal)'!J6),'Entrada Prod (semanal)'!J6/10,"")</f>
        <v>0</v>
      </c>
      <c r="K14" s="189"/>
      <c r="L14" s="176">
        <f>IF(ISNUMBER('Entrada Prod (semanal)'!O6),'Entrada Prod (semanal)'!O6,"")</f>
        <v>0</v>
      </c>
      <c r="M14" s="348">
        <v>143.07499999999999</v>
      </c>
      <c r="N14" s="349">
        <v>151.92500000000001</v>
      </c>
      <c r="O14" s="350">
        <f t="shared" si="0"/>
        <v>8.8500000000000227</v>
      </c>
      <c r="P14" s="351">
        <f t="shared" si="2"/>
        <v>0</v>
      </c>
      <c r="Q14" s="351">
        <f t="shared" si="3"/>
        <v>0</v>
      </c>
      <c r="R14" s="344"/>
      <c r="S14" s="344"/>
      <c r="T14" s="344"/>
      <c r="U14" s="157"/>
      <c r="V14" s="157"/>
    </row>
    <row r="15" spans="1:22" s="17" customFormat="1" x14ac:dyDescent="0.25">
      <c r="A15" s="275">
        <v>19</v>
      </c>
      <c r="B15" s="78">
        <f>'Salida Prod'!B15</f>
        <v>0</v>
      </c>
      <c r="C15" s="94">
        <f>IF('Entrada Prod (semanal)'!K7&gt;0,'Entrada Prod (semanal)'!K7,IF('Entrada Prod (semanal)'!L7&gt;0,'Entrada Prod (semanal)'!L7*7*B15/1000, ))</f>
        <v>0</v>
      </c>
      <c r="D15" s="81">
        <f>IF('Entrada Prod (semanal)'!L7&gt;0,'Entrada Prod (semanal)'!L7,IF('Entrada Prod (semanal)'!K7&gt;0,'Entrada Prod (semanal)'!K7*1000/7/B15, ))</f>
        <v>0</v>
      </c>
      <c r="E15" s="78">
        <f>IF(C15&gt;0,SUM(C$11:C15), )</f>
        <v>0</v>
      </c>
      <c r="F15" s="81">
        <f>IF('Entrada Prod (semanal)'!N7&gt;0,'Entrada Prod (semanal)'!N7,IF('Entrada Prod (semanal)'!M7&gt;0,'Entrada Prod (semanal)'!M7*1000/7/B15, ))</f>
        <v>0</v>
      </c>
      <c r="G15" s="99">
        <f t="shared" si="1"/>
        <v>0</v>
      </c>
      <c r="H15" s="153">
        <f>IF($J$7&gt;0,IF('Entrada Prod (semanal)'!I7&gt;0,C15/('Salida Prod'!X15*$J$7*('Salida Prod'!K15/100))*10, ), )</f>
        <v>0</v>
      </c>
      <c r="I15" s="154">
        <f>IF($J$7&gt;0,IF('Entrada Prod (semanal)'!I7&gt;0,E15/('Salida Prod'!H15*$J$7*('Salida Prod'!M15/100))*10, ), )</f>
        <v>0</v>
      </c>
      <c r="J15" s="81">
        <f>IF(ISNUMBER('Entrada Prod (semanal)'!J7),'Entrada Prod (semanal)'!J7/10,"")</f>
        <v>0</v>
      </c>
      <c r="K15" s="123">
        <v>155.5</v>
      </c>
      <c r="L15" s="176">
        <f>IF(ISNUMBER('Entrada Prod (semanal)'!O7),'Entrada Prod (semanal)'!O7,"")</f>
        <v>0</v>
      </c>
      <c r="M15" s="348">
        <v>150.83499999999998</v>
      </c>
      <c r="N15" s="349">
        <v>160.16500000000002</v>
      </c>
      <c r="O15" s="350">
        <f t="shared" si="0"/>
        <v>9.3300000000000409</v>
      </c>
      <c r="P15" s="351">
        <f t="shared" si="2"/>
        <v>0</v>
      </c>
      <c r="Q15" s="351">
        <f t="shared" si="3"/>
        <v>0</v>
      </c>
      <c r="R15" s="344"/>
      <c r="S15" s="344"/>
      <c r="T15" s="344"/>
      <c r="U15" s="157"/>
      <c r="V15" s="157"/>
    </row>
    <row r="16" spans="1:22" s="17" customFormat="1" x14ac:dyDescent="0.25">
      <c r="A16" s="275">
        <v>20</v>
      </c>
      <c r="B16" s="78">
        <f>'Salida Prod'!B16</f>
        <v>0</v>
      </c>
      <c r="C16" s="94">
        <f>IF('Entrada Prod (semanal)'!K8&gt;0,'Entrada Prod (semanal)'!K8,IF('Entrada Prod (semanal)'!L8&gt;0,'Entrada Prod (semanal)'!L8*7*B16/1000, ))</f>
        <v>0</v>
      </c>
      <c r="D16" s="81">
        <f>IF('Entrada Prod (semanal)'!L8&gt;0,'Entrada Prod (semanal)'!L8,IF('Entrada Prod (semanal)'!K8&gt;0,'Entrada Prod (semanal)'!K8*1000/7/B16, ))</f>
        <v>0</v>
      </c>
      <c r="E16" s="78">
        <f>IF(C16&gt;0,SUM(C$11:C16), )</f>
        <v>0</v>
      </c>
      <c r="F16" s="81">
        <f>IF('Entrada Prod (semanal)'!N8&gt;0,'Entrada Prod (semanal)'!N8,IF('Entrada Prod (semanal)'!M8&gt;0,'Entrada Prod (semanal)'!M8*1000/7/B16, ))</f>
        <v>0</v>
      </c>
      <c r="G16" s="99">
        <f t="shared" si="1"/>
        <v>0</v>
      </c>
      <c r="H16" s="153">
        <f>IF($J$7&gt;0,IF('Entrada Prod (semanal)'!I8&gt;0,C16/('Salida Prod'!X16*$J$7*('Salida Prod'!K16/100))*10, ), )</f>
        <v>0</v>
      </c>
      <c r="I16" s="154">
        <f>IF($J$7&gt;0,IF('Entrada Prod (semanal)'!I8&gt;0,E16/('Salida Prod'!H16*$J$7*('Salida Prod'!M16/100))*10, ), )</f>
        <v>0</v>
      </c>
      <c r="J16" s="81">
        <f>IF(ISNUMBER('Entrada Prod (semanal)'!J8),'Entrada Prod (semanal)'!J8/10,"")</f>
        <v>0</v>
      </c>
      <c r="K16" s="123">
        <v>164</v>
      </c>
      <c r="L16" s="176">
        <f>IF(ISNUMBER('Entrada Prod (semanal)'!O8),'Entrada Prod (semanal)'!O8,"")</f>
        <v>0</v>
      </c>
      <c r="M16" s="348">
        <v>159.07999999999998</v>
      </c>
      <c r="N16" s="349">
        <v>168.92000000000002</v>
      </c>
      <c r="O16" s="350">
        <f t="shared" si="0"/>
        <v>9.8400000000000318</v>
      </c>
      <c r="P16" s="351">
        <f t="shared" si="2"/>
        <v>0</v>
      </c>
      <c r="Q16" s="351">
        <f t="shared" si="3"/>
        <v>0</v>
      </c>
      <c r="R16" s="344"/>
      <c r="S16" s="344"/>
      <c r="T16" s="344"/>
      <c r="U16" s="157"/>
      <c r="V16" s="157"/>
    </row>
    <row r="17" spans="1:22" x14ac:dyDescent="0.25">
      <c r="A17" s="275">
        <v>21</v>
      </c>
      <c r="B17" s="78">
        <f>'Salida Prod'!B17</f>
        <v>0</v>
      </c>
      <c r="C17" s="94">
        <f>IF('Entrada Prod (semanal)'!K9&gt;0,'Entrada Prod (semanal)'!K9,IF('Entrada Prod (semanal)'!L9&gt;0,'Entrada Prod (semanal)'!L9*7*B17/1000, ))</f>
        <v>0</v>
      </c>
      <c r="D17" s="81">
        <f>IF('Entrada Prod (semanal)'!L9&gt;0,'Entrada Prod (semanal)'!L9,IF('Entrada Prod (semanal)'!K9&gt;0,'Entrada Prod (semanal)'!K9*1000/7/B17, ))</f>
        <v>0</v>
      </c>
      <c r="E17" s="78">
        <f>IF(C17&gt;0,SUM(C$11:C17), )</f>
        <v>0</v>
      </c>
      <c r="F17" s="81">
        <f>IF('Entrada Prod (semanal)'!N9&gt;0,'Entrada Prod (semanal)'!N9,IF('Entrada Prod (semanal)'!M9&gt;0,'Entrada Prod (semanal)'!M9*1000/7/B17, ))</f>
        <v>0</v>
      </c>
      <c r="G17" s="99">
        <f t="shared" si="1"/>
        <v>0</v>
      </c>
      <c r="H17" s="153">
        <f>IF($J$7&gt;0,IF('Entrada Prod (semanal)'!I9&gt;0,C17/('Salida Prod'!X17*$J$7*('Salida Prod'!K17/100))*10, ), )</f>
        <v>0</v>
      </c>
      <c r="I17" s="154">
        <f>IF($J$7&gt;0,IF('Entrada Prod (semanal)'!I9&gt;0,E17/('Salida Prod'!H17*$J$7*('Salida Prod'!M17/100))*10, ), )</f>
        <v>0</v>
      </c>
      <c r="J17" s="81">
        <f>IF(ISNUMBER('Entrada Prod (semanal)'!J9),'Entrada Prod (semanal)'!J9/10,"")</f>
        <v>0</v>
      </c>
      <c r="K17" s="123">
        <v>171.1</v>
      </c>
      <c r="L17" s="176">
        <f>IF(ISNUMBER('Entrada Prod (semanal)'!O9),'Entrada Prod (semanal)'!O9,"")</f>
        <v>0</v>
      </c>
      <c r="M17" s="348">
        <v>165.96700000000001</v>
      </c>
      <c r="N17" s="349">
        <v>176.233</v>
      </c>
      <c r="O17" s="350">
        <f t="shared" si="0"/>
        <v>10.265999999999991</v>
      </c>
      <c r="P17" s="351">
        <f t="shared" si="2"/>
        <v>0</v>
      </c>
      <c r="Q17" s="351">
        <f t="shared" si="3"/>
        <v>0</v>
      </c>
      <c r="U17" s="84"/>
      <c r="V17" s="84"/>
    </row>
    <row r="18" spans="1:22" x14ac:dyDescent="0.25">
      <c r="A18" s="275">
        <v>22</v>
      </c>
      <c r="B18" s="78">
        <f>'Salida Prod'!B18</f>
        <v>0</v>
      </c>
      <c r="C18" s="94">
        <f>IF('Entrada Prod (semanal)'!K10&gt;0,'Entrada Prod (semanal)'!K10,IF('Entrada Prod (semanal)'!L10&gt;0,'Entrada Prod (semanal)'!L10*7*B18/1000, ))</f>
        <v>0</v>
      </c>
      <c r="D18" s="81">
        <f>IF('Entrada Prod (semanal)'!L10&gt;0,'Entrada Prod (semanal)'!L10,IF('Entrada Prod (semanal)'!K10&gt;0,'Entrada Prod (semanal)'!K10*1000/7/B18, ))</f>
        <v>0</v>
      </c>
      <c r="E18" s="78">
        <f>IF(C18&gt;0,SUM(C$11:C18), )</f>
        <v>0</v>
      </c>
      <c r="F18" s="81">
        <f>IF('Entrada Prod (semanal)'!N10&gt;0,'Entrada Prod (semanal)'!N10,IF('Entrada Prod (semanal)'!M10&gt;0,'Entrada Prod (semanal)'!M10*1000/7/B18, ))</f>
        <v>0</v>
      </c>
      <c r="G18" s="99">
        <f t="shared" si="1"/>
        <v>0</v>
      </c>
      <c r="H18" s="153">
        <f>IF($J$7&gt;0,IF('Entrada Prod (semanal)'!I10&gt;0,C18/('Salida Prod'!X18*$J$7*('Salida Prod'!K18/100))*10, ), )</f>
        <v>0</v>
      </c>
      <c r="I18" s="154">
        <f>IF($J$7&gt;0,IF('Entrada Prod (semanal)'!I10&gt;0,E18/('Salida Prod'!H18*$J$7*('Salida Prod'!M18/100))*10, ), )</f>
        <v>0</v>
      </c>
      <c r="J18" s="81">
        <f>IF(ISNUMBER('Entrada Prod (semanal)'!J10),'Entrada Prod (semanal)'!J10/10,"")</f>
        <v>0</v>
      </c>
      <c r="K18" s="123">
        <v>179</v>
      </c>
      <c r="L18" s="176">
        <f>IF(ISNUMBER('Entrada Prod (semanal)'!O10),'Entrada Prod (semanal)'!O10,"")</f>
        <v>0</v>
      </c>
      <c r="M18" s="348">
        <v>173.63</v>
      </c>
      <c r="N18" s="349">
        <v>184.37</v>
      </c>
      <c r="O18" s="350">
        <f t="shared" si="0"/>
        <v>10.740000000000009</v>
      </c>
      <c r="P18" s="351">
        <f t="shared" si="2"/>
        <v>0</v>
      </c>
      <c r="Q18" s="351">
        <f t="shared" si="3"/>
        <v>0</v>
      </c>
      <c r="U18" s="84"/>
      <c r="V18" s="84"/>
    </row>
    <row r="19" spans="1:22" x14ac:dyDescent="0.25">
      <c r="A19" s="275">
        <v>23</v>
      </c>
      <c r="B19" s="78">
        <f>'Salida Prod'!B19</f>
        <v>0</v>
      </c>
      <c r="C19" s="94">
        <f>IF('Entrada Prod (semanal)'!K11&gt;0,'Entrada Prod (semanal)'!K11,IF('Entrada Prod (semanal)'!L11&gt;0,'Entrada Prod (semanal)'!L11*7*B19/1000, ))</f>
        <v>0</v>
      </c>
      <c r="D19" s="81">
        <f>IF('Entrada Prod (semanal)'!L11&gt;0,'Entrada Prod (semanal)'!L11,IF('Entrada Prod (semanal)'!K11&gt;0,'Entrada Prod (semanal)'!K11*1000/7/B19, ))</f>
        <v>0</v>
      </c>
      <c r="E19" s="78">
        <f>IF(C19&gt;0,SUM(C$11:C19), )</f>
        <v>0</v>
      </c>
      <c r="F19" s="81">
        <f>IF('Entrada Prod (semanal)'!N11&gt;0,'Entrada Prod (semanal)'!N11,IF('Entrada Prod (semanal)'!M11&gt;0,'Entrada Prod (semanal)'!M11*1000/7/B19, ))</f>
        <v>0</v>
      </c>
      <c r="G19" s="99">
        <f t="shared" si="1"/>
        <v>0</v>
      </c>
      <c r="H19" s="153">
        <f>IF($J$7&gt;0,IF('Entrada Prod (semanal)'!I11&gt;0,C19/('Salida Prod'!X19*$J$7*('Salida Prod'!K19/100))*10, ), )</f>
        <v>0</v>
      </c>
      <c r="I19" s="154">
        <f>IF($J$7&gt;0,IF('Entrada Prod (semanal)'!I11&gt;0,E19/('Salida Prod'!H19*$J$7*('Salida Prod'!M19/100))*10, ), )</f>
        <v>0</v>
      </c>
      <c r="J19" s="81">
        <f>IF(ISNUMBER('Entrada Prod (semanal)'!J11),'Entrada Prod (semanal)'!J11/10,"")</f>
        <v>0</v>
      </c>
      <c r="K19" s="123">
        <v>183</v>
      </c>
      <c r="L19" s="176">
        <f>IF(ISNUMBER('Entrada Prod (semanal)'!O11),'Entrada Prod (semanal)'!O11,"")</f>
        <v>0</v>
      </c>
      <c r="M19" s="348">
        <v>177.51</v>
      </c>
      <c r="N19" s="349">
        <v>188.49</v>
      </c>
      <c r="O19" s="350">
        <f t="shared" si="0"/>
        <v>10.980000000000018</v>
      </c>
      <c r="P19" s="351">
        <f t="shared" si="2"/>
        <v>0</v>
      </c>
      <c r="Q19" s="351">
        <f t="shared" si="3"/>
        <v>0</v>
      </c>
      <c r="U19" s="84"/>
      <c r="V19" s="84"/>
    </row>
    <row r="20" spans="1:22" x14ac:dyDescent="0.25">
      <c r="A20" s="276">
        <v>24</v>
      </c>
      <c r="B20" s="68">
        <f>'Salida Prod'!B20</f>
        <v>0</v>
      </c>
      <c r="C20" s="95">
        <f>IF('Entrada Prod (semanal)'!K12&gt;0,'Entrada Prod (semanal)'!K12,IF('Entrada Prod (semanal)'!L12&gt;0,'Entrada Prod (semanal)'!L12*7*B20/1000, ))</f>
        <v>0</v>
      </c>
      <c r="D20" s="82">
        <f>IF('Entrada Prod (semanal)'!L12&gt;0,'Entrada Prod (semanal)'!L12,IF('Entrada Prod (semanal)'!K12&gt;0,'Entrada Prod (semanal)'!K12*1000/7/B20, ))</f>
        <v>0</v>
      </c>
      <c r="E20" s="68">
        <f>IF(C20&gt;0,SUM(C$11:C20), )</f>
        <v>0</v>
      </c>
      <c r="F20" s="82">
        <f>IF('Entrada Prod (semanal)'!N12&gt;0,'Entrada Prod (semanal)'!N12,IF('Entrada Prod (semanal)'!M12&gt;0,'Entrada Prod (semanal)'!M12*1000/7/B20, ))</f>
        <v>0</v>
      </c>
      <c r="G20" s="100">
        <f t="shared" si="1"/>
        <v>0</v>
      </c>
      <c r="H20" s="155">
        <f>IF($J$7&gt;0,IF('Entrada Prod (semanal)'!I12&gt;0,C20/('Salida Prod'!X20*$J$7*('Salida Prod'!K20/100))*10, ), )</f>
        <v>0</v>
      </c>
      <c r="I20" s="105">
        <f>IF($J$7&gt;0,IF('Entrada Prod (semanal)'!I12&gt;0,E20/('Salida Prod'!H20*$J$7*('Salida Prod'!M20/100))*10, ), )</f>
        <v>0</v>
      </c>
      <c r="J20" s="82">
        <f>IF(ISNUMBER('Entrada Prod (semanal)'!J12),'Entrada Prod (semanal)'!J12/10,"")</f>
        <v>0</v>
      </c>
      <c r="K20" s="124">
        <v>187</v>
      </c>
      <c r="L20" s="177">
        <f>IF(ISNUMBER('Entrada Prod (semanal)'!O12),'Entrada Prod (semanal)'!O12,"")</f>
        <v>0</v>
      </c>
      <c r="M20" s="348">
        <v>181.39000000000001</v>
      </c>
      <c r="N20" s="349">
        <v>192.60999999999999</v>
      </c>
      <c r="O20" s="350">
        <f t="shared" si="0"/>
        <v>11.21999999999997</v>
      </c>
      <c r="P20" s="351">
        <f t="shared" si="2"/>
        <v>0</v>
      </c>
      <c r="Q20" s="351">
        <f t="shared" si="3"/>
        <v>0</v>
      </c>
      <c r="U20" s="84"/>
      <c r="V20" s="84"/>
    </row>
    <row r="21" spans="1:22" x14ac:dyDescent="0.25">
      <c r="A21" s="275">
        <v>25</v>
      </c>
      <c r="B21" s="78">
        <f>'Salida Prod'!B21</f>
        <v>0</v>
      </c>
      <c r="C21" s="94">
        <f>IF('Entrada Prod (semanal)'!K13&gt;0,'Entrada Prod (semanal)'!K13,IF('Entrada Prod (semanal)'!L13&gt;0,'Entrada Prod (semanal)'!L13*7*B21/1000, ))</f>
        <v>0</v>
      </c>
      <c r="D21" s="81">
        <f>IF('Entrada Prod (semanal)'!L13&gt;0,'Entrada Prod (semanal)'!L13,IF('Entrada Prod (semanal)'!K13&gt;0,'Entrada Prod (semanal)'!K13*1000/7/B21, ))</f>
        <v>0</v>
      </c>
      <c r="E21" s="78">
        <f>IF(C21&gt;0,SUM(C$11:C21), )</f>
        <v>0</v>
      </c>
      <c r="F21" s="81">
        <f>IF('Entrada Prod (semanal)'!N13&gt;0,'Entrada Prod (semanal)'!N13,IF('Entrada Prod (semanal)'!M13&gt;0,'Entrada Prod (semanal)'!M13*1000/7/B21, ))</f>
        <v>0</v>
      </c>
      <c r="G21" s="99">
        <f t="shared" si="1"/>
        <v>0</v>
      </c>
      <c r="H21" s="153">
        <f>IF($J$7&gt;0,IF('Entrada Prod (semanal)'!I13&gt;0,C21/('Salida Prod'!X21*$J$7*('Salida Prod'!K21/100))*10, ), )</f>
        <v>0</v>
      </c>
      <c r="I21" s="154">
        <f>IF($J$7&gt;0,IF('Entrada Prod (semanal)'!I13&gt;0,E21/('Salida Prod'!H21*$J$7*('Salida Prod'!M21/100))*10, ), )</f>
        <v>0</v>
      </c>
      <c r="J21" s="81">
        <f>IF(ISNUMBER('Entrada Prod (semanal)'!J13),'Entrada Prod (semanal)'!J13/10,"")</f>
        <v>0</v>
      </c>
      <c r="K21" s="123">
        <v>188.5</v>
      </c>
      <c r="L21" s="176">
        <f>IF(ISNUMBER('Entrada Prod (semanal)'!O13),'Entrada Prod (semanal)'!O13,"")</f>
        <v>0</v>
      </c>
      <c r="M21" s="348">
        <v>182.845</v>
      </c>
      <c r="N21" s="349">
        <v>194.155</v>
      </c>
      <c r="O21" s="350">
        <f t="shared" si="0"/>
        <v>11.310000000000002</v>
      </c>
      <c r="P21" s="351">
        <f t="shared" si="2"/>
        <v>0</v>
      </c>
      <c r="Q21" s="351">
        <f t="shared" si="3"/>
        <v>0</v>
      </c>
      <c r="U21" s="84"/>
      <c r="V21" s="84"/>
    </row>
    <row r="22" spans="1:22" x14ac:dyDescent="0.25">
      <c r="A22" s="275">
        <v>26</v>
      </c>
      <c r="B22" s="78">
        <f>'Salida Prod'!B22</f>
        <v>0</v>
      </c>
      <c r="C22" s="94">
        <f>IF('Entrada Prod (semanal)'!K14&gt;0,'Entrada Prod (semanal)'!K14,IF('Entrada Prod (semanal)'!L14&gt;0,'Entrada Prod (semanal)'!L14*7*B22/1000, ))</f>
        <v>0</v>
      </c>
      <c r="D22" s="81">
        <f>IF('Entrada Prod (semanal)'!L14&gt;0,'Entrada Prod (semanal)'!L14,IF('Entrada Prod (semanal)'!K14&gt;0,'Entrada Prod (semanal)'!K14*1000/7/B22, ))</f>
        <v>0</v>
      </c>
      <c r="E22" s="78">
        <f>IF(C22&gt;0,SUM(C$11:C22), )</f>
        <v>0</v>
      </c>
      <c r="F22" s="81">
        <f>IF('Entrada Prod (semanal)'!N14&gt;0,'Entrada Prod (semanal)'!N14,IF('Entrada Prod (semanal)'!M14&gt;0,'Entrada Prod (semanal)'!M14*1000/7/B22, ))</f>
        <v>0</v>
      </c>
      <c r="G22" s="99">
        <f t="shared" si="1"/>
        <v>0</v>
      </c>
      <c r="H22" s="153">
        <f>IF($J$7&gt;0,IF('Entrada Prod (semanal)'!I14&gt;0,C22/('Salida Prod'!X22*$J$7*('Salida Prod'!K22/100))*10, ), )</f>
        <v>0</v>
      </c>
      <c r="I22" s="154">
        <f>IF($J$7&gt;0,IF('Entrada Prod (semanal)'!I14&gt;0,E22/('Salida Prod'!H22*$J$7*('Salida Prod'!M22/100))*10, ), )</f>
        <v>0</v>
      </c>
      <c r="J22" s="81">
        <f>IF(ISNUMBER('Entrada Prod (semanal)'!J14),'Entrada Prod (semanal)'!J14/10,"")</f>
        <v>0</v>
      </c>
      <c r="K22" s="123">
        <v>190</v>
      </c>
      <c r="L22" s="176">
        <f>IF(ISNUMBER('Entrada Prod (semanal)'!O14),'Entrada Prod (semanal)'!O14,"")</f>
        <v>0</v>
      </c>
      <c r="M22" s="348">
        <v>184.3</v>
      </c>
      <c r="N22" s="349">
        <v>195.7</v>
      </c>
      <c r="O22" s="350">
        <f t="shared" si="0"/>
        <v>11.399999999999977</v>
      </c>
      <c r="P22" s="351">
        <f t="shared" si="2"/>
        <v>0</v>
      </c>
      <c r="Q22" s="351">
        <f t="shared" si="3"/>
        <v>0</v>
      </c>
      <c r="U22" s="84"/>
      <c r="V22" s="84"/>
    </row>
    <row r="23" spans="1:22" x14ac:dyDescent="0.25">
      <c r="A23" s="275">
        <v>27</v>
      </c>
      <c r="B23" s="78">
        <f>'Salida Prod'!B23</f>
        <v>0</v>
      </c>
      <c r="C23" s="94">
        <f>IF('Entrada Prod (semanal)'!K15&gt;0,'Entrada Prod (semanal)'!K15,IF('Entrada Prod (semanal)'!L15&gt;0,'Entrada Prod (semanal)'!L15*7*B23/1000, ))</f>
        <v>0</v>
      </c>
      <c r="D23" s="81">
        <f>IF('Entrada Prod (semanal)'!L15&gt;0,'Entrada Prod (semanal)'!L15,IF('Entrada Prod (semanal)'!K15&gt;0,'Entrada Prod (semanal)'!K15*1000/7/B23, ))</f>
        <v>0</v>
      </c>
      <c r="E23" s="78">
        <f>IF(C23&gt;0,SUM(C$11:C23), )</f>
        <v>0</v>
      </c>
      <c r="F23" s="81">
        <f>IF('Entrada Prod (semanal)'!N15&gt;0,'Entrada Prod (semanal)'!N15,IF('Entrada Prod (semanal)'!M15&gt;0,'Entrada Prod (semanal)'!M15*1000/7/B23, ))</f>
        <v>0</v>
      </c>
      <c r="G23" s="99">
        <f t="shared" si="1"/>
        <v>0</v>
      </c>
      <c r="H23" s="153">
        <f>IF($J$7&gt;0,IF('Entrada Prod (semanal)'!I15&gt;0,C23/('Salida Prod'!X23*$J$7*('Salida Prod'!K23/100))*10, ), )</f>
        <v>0</v>
      </c>
      <c r="I23" s="154">
        <f>IF($J$7&gt;0,IF('Entrada Prod (semanal)'!I15&gt;0,E23/('Salida Prod'!H23*$J$7*('Salida Prod'!M23/100))*10, ), )</f>
        <v>0</v>
      </c>
      <c r="J23" s="81">
        <f>IF(ISNUMBER('Entrada Prod (semanal)'!J15),'Entrada Prod (semanal)'!J15/10,"")</f>
        <v>0</v>
      </c>
      <c r="K23" s="123">
        <v>190.5</v>
      </c>
      <c r="L23" s="176">
        <f>IF(ISNUMBER('Entrada Prod (semanal)'!O15),'Entrada Prod (semanal)'!O15,"")</f>
        <v>0</v>
      </c>
      <c r="M23" s="348">
        <v>184.785</v>
      </c>
      <c r="N23" s="349">
        <v>196.215</v>
      </c>
      <c r="O23" s="350">
        <f t="shared" si="0"/>
        <v>11.430000000000007</v>
      </c>
      <c r="P23" s="351">
        <f t="shared" si="2"/>
        <v>0</v>
      </c>
      <c r="Q23" s="351">
        <f t="shared" si="3"/>
        <v>0</v>
      </c>
      <c r="U23" s="84"/>
      <c r="V23" s="84"/>
    </row>
    <row r="24" spans="1:22" x14ac:dyDescent="0.25">
      <c r="A24" s="276">
        <v>28</v>
      </c>
      <c r="B24" s="68">
        <f>'Salida Prod'!B24</f>
        <v>0</v>
      </c>
      <c r="C24" s="95">
        <f>IF('Entrada Prod (semanal)'!K16&gt;0,'Entrada Prod (semanal)'!K16,IF('Entrada Prod (semanal)'!L16&gt;0,'Entrada Prod (semanal)'!L16*7*B24/1000, ))</f>
        <v>0</v>
      </c>
      <c r="D24" s="82">
        <f>IF('Entrada Prod (semanal)'!L16&gt;0,'Entrada Prod (semanal)'!L16,IF('Entrada Prod (semanal)'!K16&gt;0,'Entrada Prod (semanal)'!K16*1000/7/B24, ))</f>
        <v>0</v>
      </c>
      <c r="E24" s="68">
        <f>IF(C24&gt;0,SUM(C$11:C24), )</f>
        <v>0</v>
      </c>
      <c r="F24" s="82">
        <f>IF('Entrada Prod (semanal)'!N16&gt;0,'Entrada Prod (semanal)'!N16,IF('Entrada Prod (semanal)'!M16&gt;0,'Entrada Prod (semanal)'!M16*1000/7/B24, ))</f>
        <v>0</v>
      </c>
      <c r="G24" s="100">
        <f t="shared" si="1"/>
        <v>0</v>
      </c>
      <c r="H24" s="155">
        <f>IF($J$7&gt;0,IF('Entrada Prod (semanal)'!I16&gt;0,C24/('Salida Prod'!X24*$J$7*('Salida Prod'!K24/100))*10, ), )</f>
        <v>0</v>
      </c>
      <c r="I24" s="105">
        <f>IF($J$7&gt;0,IF('Entrada Prod (semanal)'!I16&gt;0,E24/('Salida Prod'!H24*$J$7*('Salida Prod'!M24/100))*10, ), )</f>
        <v>0</v>
      </c>
      <c r="J24" s="82">
        <f>IF(ISNUMBER('Entrada Prod (semanal)'!J16),'Entrada Prod (semanal)'!J16/10,"")</f>
        <v>0</v>
      </c>
      <c r="K24" s="124">
        <v>191.1</v>
      </c>
      <c r="L24" s="177">
        <f>IF(ISNUMBER('Entrada Prod (semanal)'!O16),'Entrada Prod (semanal)'!O16,"")</f>
        <v>0</v>
      </c>
      <c r="M24" s="348">
        <v>185.36700000000002</v>
      </c>
      <c r="N24" s="349">
        <v>196.833</v>
      </c>
      <c r="O24" s="350">
        <f t="shared" si="0"/>
        <v>11.46599999999998</v>
      </c>
      <c r="P24" s="351">
        <f t="shared" si="2"/>
        <v>0</v>
      </c>
      <c r="Q24" s="351">
        <f t="shared" si="3"/>
        <v>0</v>
      </c>
      <c r="U24" s="84"/>
      <c r="V24" s="84"/>
    </row>
    <row r="25" spans="1:22" x14ac:dyDescent="0.25">
      <c r="A25" s="275">
        <v>29</v>
      </c>
      <c r="B25" s="78">
        <f>'Salida Prod'!B25</f>
        <v>0</v>
      </c>
      <c r="C25" s="94">
        <f>IF('Entrada Prod (semanal)'!K17&gt;0,'Entrada Prod (semanal)'!K17,IF('Entrada Prod (semanal)'!L17&gt;0,'Entrada Prod (semanal)'!L17*7*B25/1000, ))</f>
        <v>0</v>
      </c>
      <c r="D25" s="81">
        <f>IF('Entrada Prod (semanal)'!L17&gt;0,'Entrada Prod (semanal)'!L17,IF('Entrada Prod (semanal)'!K17&gt;0,'Entrada Prod (semanal)'!K17*1000/7/B25, ))</f>
        <v>0</v>
      </c>
      <c r="E25" s="78">
        <f>IF(C25&gt;0,SUM(C$11:C25), )</f>
        <v>0</v>
      </c>
      <c r="F25" s="81">
        <f>IF('Entrada Prod (semanal)'!N17&gt;0,'Entrada Prod (semanal)'!N17,IF('Entrada Prod (semanal)'!M17&gt;0,'Entrada Prod (semanal)'!M17*1000/7/B25, ))</f>
        <v>0</v>
      </c>
      <c r="G25" s="99">
        <f t="shared" si="1"/>
        <v>0</v>
      </c>
      <c r="H25" s="153">
        <f>IF($J$7&gt;0,IF('Entrada Prod (semanal)'!I17&gt;0,C25/('Salida Prod'!X25*$J$7*('Salida Prod'!K25/100))*10, ), )</f>
        <v>0</v>
      </c>
      <c r="I25" s="154">
        <f>IF($J$7&gt;0,IF('Entrada Prod (semanal)'!I17&gt;0,E25/('Salida Prod'!H25*$J$7*('Salida Prod'!M25/100))*10, ), )</f>
        <v>0</v>
      </c>
      <c r="J25" s="81">
        <f>IF(ISNUMBER('Entrada Prod (semanal)'!J17),'Entrada Prod (semanal)'!J17/10,"")</f>
        <v>0</v>
      </c>
      <c r="K25" s="123">
        <v>191.5</v>
      </c>
      <c r="L25" s="176">
        <f>IF(ISNUMBER('Entrada Prod (semanal)'!O17),'Entrada Prod (semanal)'!O17,"")</f>
        <v>0</v>
      </c>
      <c r="M25" s="348">
        <v>185.755</v>
      </c>
      <c r="N25" s="349">
        <v>197.245</v>
      </c>
      <c r="O25" s="350">
        <f t="shared" si="0"/>
        <v>11.490000000000009</v>
      </c>
      <c r="P25" s="351">
        <f t="shared" si="2"/>
        <v>0</v>
      </c>
      <c r="Q25" s="351">
        <f t="shared" si="3"/>
        <v>0</v>
      </c>
      <c r="U25" s="84"/>
      <c r="V25" s="84"/>
    </row>
    <row r="26" spans="1:22" x14ac:dyDescent="0.25">
      <c r="A26" s="275">
        <v>30</v>
      </c>
      <c r="B26" s="78">
        <f>'Salida Prod'!B26</f>
        <v>0</v>
      </c>
      <c r="C26" s="94">
        <f>IF('Entrada Prod (semanal)'!K18&gt;0,'Entrada Prod (semanal)'!K18,IF('Entrada Prod (semanal)'!L18&gt;0,'Entrada Prod (semanal)'!L18*7*B26/1000, ))</f>
        <v>0</v>
      </c>
      <c r="D26" s="81">
        <f>IF('Entrada Prod (semanal)'!L18&gt;0,'Entrada Prod (semanal)'!L18,IF('Entrada Prod (semanal)'!K18&gt;0,'Entrada Prod (semanal)'!K18*1000/7/B26, ))</f>
        <v>0</v>
      </c>
      <c r="E26" s="78">
        <f>IF(C26&gt;0,SUM(C$11:C26), )</f>
        <v>0</v>
      </c>
      <c r="F26" s="81">
        <f>IF('Entrada Prod (semanal)'!N18&gt;0,'Entrada Prod (semanal)'!N18,IF('Entrada Prod (semanal)'!M18&gt;0,'Entrada Prod (semanal)'!M18*1000/7/B26, ))</f>
        <v>0</v>
      </c>
      <c r="G26" s="99">
        <f t="shared" si="1"/>
        <v>0</v>
      </c>
      <c r="H26" s="153">
        <f>IF($J$7&gt;0,IF('Entrada Prod (semanal)'!I18&gt;0,C26/('Salida Prod'!X26*$J$7*('Salida Prod'!K26/100))*10, ), )</f>
        <v>0</v>
      </c>
      <c r="I26" s="154">
        <f>IF($J$7&gt;0,IF('Entrada Prod (semanal)'!I18&gt;0,E26/('Salida Prod'!H26*$J$7*('Salida Prod'!M26/100))*10, ), )</f>
        <v>0</v>
      </c>
      <c r="J26" s="81">
        <f>IF(ISNUMBER('Entrada Prod (semanal)'!J18),'Entrada Prod (semanal)'!J18/10,"")</f>
        <v>0</v>
      </c>
      <c r="K26" s="123">
        <v>192</v>
      </c>
      <c r="L26" s="176">
        <f>IF(ISNUMBER('Entrada Prod (semanal)'!O18),'Entrada Prod (semanal)'!O18,"")</f>
        <v>0</v>
      </c>
      <c r="M26" s="348">
        <v>186.24</v>
      </c>
      <c r="N26" s="349">
        <v>197.76</v>
      </c>
      <c r="O26" s="350">
        <f t="shared" si="0"/>
        <v>11.519999999999982</v>
      </c>
      <c r="P26" s="351">
        <f t="shared" si="2"/>
        <v>0</v>
      </c>
      <c r="Q26" s="351">
        <f t="shared" si="3"/>
        <v>0</v>
      </c>
      <c r="U26" s="84"/>
      <c r="V26" s="84"/>
    </row>
    <row r="27" spans="1:22" x14ac:dyDescent="0.25">
      <c r="A27" s="275">
        <v>31</v>
      </c>
      <c r="B27" s="79">
        <f>'Salida Prod'!B27</f>
        <v>0</v>
      </c>
      <c r="C27" s="96">
        <f>IF('Entrada Prod (semanal)'!K19&gt;0,'Entrada Prod (semanal)'!K19,IF('Entrada Prod (semanal)'!L19&gt;0,'Entrada Prod (semanal)'!L19*7*B27/1000, ))</f>
        <v>0</v>
      </c>
      <c r="D27" s="150">
        <f>IF('Entrada Prod (semanal)'!L19&gt;0,'Entrada Prod (semanal)'!L19,IF('Entrada Prod (semanal)'!K19&gt;0,'Entrada Prod (semanal)'!K19*1000/7/B27, ))</f>
        <v>0</v>
      </c>
      <c r="E27" s="78">
        <f>IF(C27&gt;0,SUM(C$11:C27), )</f>
        <v>0</v>
      </c>
      <c r="F27" s="81">
        <f>IF('Entrada Prod (semanal)'!N19&gt;0,'Entrada Prod (semanal)'!N19,IF('Entrada Prod (semanal)'!M19&gt;0,'Entrada Prod (semanal)'!M19*1000/7/B27, ))</f>
        <v>0</v>
      </c>
      <c r="G27" s="99">
        <f t="shared" si="1"/>
        <v>0</v>
      </c>
      <c r="H27" s="153">
        <f>IF($J$7&gt;0,IF('Entrada Prod (semanal)'!I19&gt;0,C27/('Salida Prod'!X27*$J$7*('Salida Prod'!K27/100))*10, ), )</f>
        <v>0</v>
      </c>
      <c r="I27" s="154">
        <f>IF($J$7&gt;0,IF('Entrada Prod (semanal)'!I19&gt;0,E27/('Salida Prod'!H27*$J$7*('Salida Prod'!M27/100))*10, ), )</f>
        <v>0</v>
      </c>
      <c r="J27" s="81">
        <f>IF(ISNUMBER('Entrada Prod (semanal)'!J19),'Entrada Prod (semanal)'!J19/10,"")</f>
        <v>0</v>
      </c>
      <c r="K27" s="125">
        <v>192.3</v>
      </c>
      <c r="L27" s="176">
        <f>IF(ISNUMBER('Entrada Prod (semanal)'!O19),'Entrada Prod (semanal)'!O19,"")</f>
        <v>0</v>
      </c>
      <c r="M27" s="348">
        <v>186.53100000000001</v>
      </c>
      <c r="N27" s="349">
        <v>198.06900000000002</v>
      </c>
      <c r="O27" s="350">
        <f t="shared" si="0"/>
        <v>11.538000000000011</v>
      </c>
      <c r="P27" s="351">
        <f t="shared" si="2"/>
        <v>0</v>
      </c>
      <c r="Q27" s="351">
        <f t="shared" si="3"/>
        <v>0</v>
      </c>
      <c r="U27" s="84"/>
      <c r="V27" s="84"/>
    </row>
    <row r="28" spans="1:22" x14ac:dyDescent="0.25">
      <c r="A28" s="276">
        <v>32</v>
      </c>
      <c r="B28" s="68">
        <f>'Salida Prod'!B28</f>
        <v>0</v>
      </c>
      <c r="C28" s="95">
        <f>IF('Entrada Prod (semanal)'!K20&gt;0,'Entrada Prod (semanal)'!K20,IF('Entrada Prod (semanal)'!L20&gt;0,'Entrada Prod (semanal)'!L20*7*B28/1000, ))</f>
        <v>0</v>
      </c>
      <c r="D28" s="82">
        <f>IF('Entrada Prod (semanal)'!L20&gt;0,'Entrada Prod (semanal)'!L20,IF('Entrada Prod (semanal)'!K20&gt;0,'Entrada Prod (semanal)'!K20*1000/7/B28, ))</f>
        <v>0</v>
      </c>
      <c r="E28" s="68">
        <f>IF(C28&gt;0,SUM(C$11:C28), )</f>
        <v>0</v>
      </c>
      <c r="F28" s="82">
        <f>IF('Entrada Prod (semanal)'!N20&gt;0,'Entrada Prod (semanal)'!N20,IF('Entrada Prod (semanal)'!M20&gt;0,'Entrada Prod (semanal)'!M20*1000/7/B28, ))</f>
        <v>0</v>
      </c>
      <c r="G28" s="100">
        <f t="shared" ref="G28:G43" si="4">IF(D28&gt;0,IF(F28&gt;0,F28/D28, ), )</f>
        <v>0</v>
      </c>
      <c r="H28" s="155">
        <f>IF($J$7&gt;0,IF('Entrada Prod (semanal)'!I20&gt;0,C28/('Salida Prod'!X28*$J$7*('Salida Prod'!K28/100))*10, ), )</f>
        <v>0</v>
      </c>
      <c r="I28" s="105">
        <f>IF($J$7&gt;0,IF('Entrada Prod (semanal)'!I20&gt;0,E28/('Salida Prod'!H28*$J$7*('Salida Prod'!M28/100))*10, ), )</f>
        <v>0</v>
      </c>
      <c r="J28" s="82">
        <f>IF(ISNUMBER('Entrada Prod (semanal)'!J20),'Entrada Prod (semanal)'!J20/10,"")</f>
        <v>0</v>
      </c>
      <c r="K28" s="124">
        <v>192.5</v>
      </c>
      <c r="L28" s="177">
        <f>IF(ISNUMBER('Entrada Prod (semanal)'!O20),'Entrada Prod (semanal)'!O20,"")</f>
        <v>0</v>
      </c>
      <c r="M28" s="348">
        <v>186.72499999999999</v>
      </c>
      <c r="N28" s="349">
        <v>198.27500000000001</v>
      </c>
      <c r="O28" s="350">
        <f t="shared" si="0"/>
        <v>11.550000000000011</v>
      </c>
      <c r="P28" s="351">
        <f t="shared" si="2"/>
        <v>0</v>
      </c>
      <c r="Q28" s="351">
        <f t="shared" si="3"/>
        <v>0</v>
      </c>
      <c r="U28" s="84"/>
      <c r="V28" s="84"/>
    </row>
    <row r="29" spans="1:22" x14ac:dyDescent="0.25">
      <c r="A29" s="275">
        <v>33</v>
      </c>
      <c r="B29" s="79">
        <f>'Salida Prod'!B29</f>
        <v>0</v>
      </c>
      <c r="C29" s="96">
        <f>IF('Entrada Prod (semanal)'!K21&gt;0,'Entrada Prod (semanal)'!K21,IF('Entrada Prod (semanal)'!L21&gt;0,'Entrada Prod (semanal)'!L21*7*B29/1000, ))</f>
        <v>0</v>
      </c>
      <c r="D29" s="150">
        <f>IF('Entrada Prod (semanal)'!L21&gt;0,'Entrada Prod (semanal)'!L21,IF('Entrada Prod (semanal)'!K21&gt;0,'Entrada Prod (semanal)'!K21*1000/7/B29, ))</f>
        <v>0</v>
      </c>
      <c r="E29" s="78">
        <f>IF(C29&gt;0,SUM(C$11:C29), )</f>
        <v>0</v>
      </c>
      <c r="F29" s="81">
        <f>IF('Entrada Prod (semanal)'!N21&gt;0,'Entrada Prod (semanal)'!N21,IF('Entrada Prod (semanal)'!M21&gt;0,'Entrada Prod (semanal)'!M21*1000/7/B29, ))</f>
        <v>0</v>
      </c>
      <c r="G29" s="99">
        <f t="shared" si="4"/>
        <v>0</v>
      </c>
      <c r="H29" s="153">
        <f>IF($J$7&gt;0,IF('Entrada Prod (semanal)'!I21&gt;0,C29/('Salida Prod'!X29*$J$7*('Salida Prod'!K29/100))*10, ), )</f>
        <v>0</v>
      </c>
      <c r="I29" s="154">
        <f>IF($J$7&gt;0,IF('Entrada Prod (semanal)'!I21&gt;0,E29/('Salida Prod'!H29*$J$7*('Salida Prod'!M29/100))*10, ), )</f>
        <v>0</v>
      </c>
      <c r="J29" s="81">
        <f>IF(ISNUMBER('Entrada Prod (semanal)'!J21),'Entrada Prod (semanal)'!J21/10,"")</f>
        <v>0</v>
      </c>
      <c r="K29" s="125">
        <v>192.8</v>
      </c>
      <c r="L29" s="176">
        <f>IF(ISNUMBER('Entrada Prod (semanal)'!O21),'Entrada Prod (semanal)'!O21,"")</f>
        <v>0</v>
      </c>
      <c r="M29" s="348">
        <v>187.01600000000002</v>
      </c>
      <c r="N29" s="349">
        <v>198.584</v>
      </c>
      <c r="O29" s="350">
        <f t="shared" si="0"/>
        <v>11.567999999999984</v>
      </c>
      <c r="P29" s="351">
        <f t="shared" si="2"/>
        <v>0</v>
      </c>
      <c r="Q29" s="351">
        <f t="shared" si="3"/>
        <v>0</v>
      </c>
      <c r="U29" s="84"/>
      <c r="V29" s="84"/>
    </row>
    <row r="30" spans="1:22" x14ac:dyDescent="0.25">
      <c r="A30" s="275">
        <v>34</v>
      </c>
      <c r="B30" s="78">
        <f>'Salida Prod'!B30</f>
        <v>0</v>
      </c>
      <c r="C30" s="94">
        <f>IF('Entrada Prod (semanal)'!K22&gt;0,'Entrada Prod (semanal)'!K22,IF('Entrada Prod (semanal)'!L22&gt;0,'Entrada Prod (semanal)'!L22*7*B30/1000, ))</f>
        <v>0</v>
      </c>
      <c r="D30" s="81">
        <f>IF('Entrada Prod (semanal)'!L22&gt;0,'Entrada Prod (semanal)'!L22,IF('Entrada Prod (semanal)'!K22&gt;0,'Entrada Prod (semanal)'!K22*1000/7/B30, ))</f>
        <v>0</v>
      </c>
      <c r="E30" s="78">
        <f>IF(C30&gt;0,SUM(C$11:C30), )</f>
        <v>0</v>
      </c>
      <c r="F30" s="81">
        <f>IF('Entrada Prod (semanal)'!N22&gt;0,'Entrada Prod (semanal)'!N22,IF('Entrada Prod (semanal)'!M22&gt;0,'Entrada Prod (semanal)'!M22*1000/7/B30, ))</f>
        <v>0</v>
      </c>
      <c r="G30" s="99">
        <f t="shared" si="4"/>
        <v>0</v>
      </c>
      <c r="H30" s="153">
        <f>IF($J$7&gt;0,IF('Entrada Prod (semanal)'!I22&gt;0,C30/('Salida Prod'!X30*$J$7*('Salida Prod'!K30/100))*10, ), )</f>
        <v>0</v>
      </c>
      <c r="I30" s="154">
        <f>IF($J$7&gt;0,IF('Entrada Prod (semanal)'!I22&gt;0,E30/('Salida Prod'!H30*$J$7*('Salida Prod'!M30/100))*10, ), )</f>
        <v>0</v>
      </c>
      <c r="J30" s="81">
        <f>IF(ISNUMBER('Entrada Prod (semanal)'!J22),'Entrada Prod (semanal)'!J22/10,"")</f>
        <v>0</v>
      </c>
      <c r="K30" s="123">
        <v>193.1</v>
      </c>
      <c r="L30" s="176">
        <f>IF(ISNUMBER('Entrada Prod (semanal)'!O22),'Entrada Prod (semanal)'!O22,"")</f>
        <v>0</v>
      </c>
      <c r="M30" s="348">
        <v>187.30699999999999</v>
      </c>
      <c r="N30" s="349">
        <v>198.893</v>
      </c>
      <c r="O30" s="350">
        <f t="shared" si="0"/>
        <v>11.586000000000013</v>
      </c>
      <c r="P30" s="351">
        <f t="shared" si="2"/>
        <v>0</v>
      </c>
      <c r="Q30" s="351">
        <f t="shared" si="3"/>
        <v>0</v>
      </c>
      <c r="U30" s="84"/>
      <c r="V30" s="84"/>
    </row>
    <row r="31" spans="1:22" x14ac:dyDescent="0.25">
      <c r="A31" s="275">
        <v>35</v>
      </c>
      <c r="B31" s="79">
        <f>'Salida Prod'!B31</f>
        <v>0</v>
      </c>
      <c r="C31" s="96">
        <f>IF('Entrada Prod (semanal)'!K23&gt;0,'Entrada Prod (semanal)'!K23,IF('Entrada Prod (semanal)'!L23&gt;0,'Entrada Prod (semanal)'!L23*7*B31/1000, ))</f>
        <v>0</v>
      </c>
      <c r="D31" s="150">
        <f>IF('Entrada Prod (semanal)'!L23&gt;0,'Entrada Prod (semanal)'!L23,IF('Entrada Prod (semanal)'!K23&gt;0,'Entrada Prod (semanal)'!K23*1000/7/B31, ))</f>
        <v>0</v>
      </c>
      <c r="E31" s="78">
        <f>IF(C31&gt;0,SUM(C$11:C31), )</f>
        <v>0</v>
      </c>
      <c r="F31" s="81">
        <f>IF('Entrada Prod (semanal)'!N23&gt;0,'Entrada Prod (semanal)'!N23,IF('Entrada Prod (semanal)'!M23&gt;0,'Entrada Prod (semanal)'!M23*1000/7/B31, ))</f>
        <v>0</v>
      </c>
      <c r="G31" s="99">
        <f t="shared" si="4"/>
        <v>0</v>
      </c>
      <c r="H31" s="153">
        <f>IF($J$7&gt;0,IF('Entrada Prod (semanal)'!I23&gt;0,C31/('Salida Prod'!X31*$J$7*('Salida Prod'!K31/100))*10, ), )</f>
        <v>0</v>
      </c>
      <c r="I31" s="154">
        <f>IF($J$7&gt;0,IF('Entrada Prod (semanal)'!I23&gt;0,E31/('Salida Prod'!H31*$J$7*('Salida Prod'!M31/100))*10, ), )</f>
        <v>0</v>
      </c>
      <c r="J31" s="81">
        <f>IF(ISNUMBER('Entrada Prod (semanal)'!J23),'Entrada Prod (semanal)'!J23/10,"")</f>
        <v>0</v>
      </c>
      <c r="K31" s="125">
        <v>193.3</v>
      </c>
      <c r="L31" s="176">
        <f>IF(ISNUMBER('Entrada Prod (semanal)'!O23),'Entrada Prod (semanal)'!O23,"")</f>
        <v>0</v>
      </c>
      <c r="M31" s="348">
        <v>187.501</v>
      </c>
      <c r="N31" s="349">
        <v>199.09899999999999</v>
      </c>
      <c r="O31" s="350">
        <f t="shared" si="0"/>
        <v>11.597999999999985</v>
      </c>
      <c r="P31" s="351">
        <f t="shared" si="2"/>
        <v>0</v>
      </c>
      <c r="Q31" s="351">
        <f t="shared" si="3"/>
        <v>0</v>
      </c>
      <c r="U31" s="84"/>
      <c r="V31" s="84"/>
    </row>
    <row r="32" spans="1:22" x14ac:dyDescent="0.25">
      <c r="A32" s="276">
        <v>36</v>
      </c>
      <c r="B32" s="68">
        <f>'Salida Prod'!B32</f>
        <v>0</v>
      </c>
      <c r="C32" s="95">
        <f>IF('Entrada Prod (semanal)'!K24&gt;0,'Entrada Prod (semanal)'!K24,IF('Entrada Prod (semanal)'!L24&gt;0,'Entrada Prod (semanal)'!L24*7*B32/1000, ))</f>
        <v>0</v>
      </c>
      <c r="D32" s="82">
        <f>IF('Entrada Prod (semanal)'!L24&gt;0,'Entrada Prod (semanal)'!L24,IF('Entrada Prod (semanal)'!K24&gt;0,'Entrada Prod (semanal)'!K24*1000/7/B32, ))</f>
        <v>0</v>
      </c>
      <c r="E32" s="68">
        <f>IF(C32&gt;0,SUM(C$11:C32), )</f>
        <v>0</v>
      </c>
      <c r="F32" s="82">
        <f>IF('Entrada Prod (semanal)'!N24&gt;0,'Entrada Prod (semanal)'!N24,IF('Entrada Prod (semanal)'!M24&gt;0,'Entrada Prod (semanal)'!M24*1000/7/B32, ))</f>
        <v>0</v>
      </c>
      <c r="G32" s="100">
        <f t="shared" si="4"/>
        <v>0</v>
      </c>
      <c r="H32" s="155">
        <f>IF($J$7&gt;0,IF('Entrada Prod (semanal)'!I24&gt;0,C32/('Salida Prod'!X32*$J$7*('Salida Prod'!K32/100))*10, ), )</f>
        <v>0</v>
      </c>
      <c r="I32" s="105">
        <f>IF($J$7&gt;0,IF('Entrada Prod (semanal)'!I24&gt;0,E32/('Salida Prod'!H32*$J$7*('Salida Prod'!M32/100))*10, ), )</f>
        <v>0</v>
      </c>
      <c r="J32" s="82">
        <f>IF(ISNUMBER('Entrada Prod (semanal)'!J24),'Entrada Prod (semanal)'!J24/10,"")</f>
        <v>0</v>
      </c>
      <c r="K32" s="124">
        <v>193.5</v>
      </c>
      <c r="L32" s="177">
        <f>IF(ISNUMBER('Entrada Prod (semanal)'!O24),'Entrada Prod (semanal)'!O24,"")</f>
        <v>0</v>
      </c>
      <c r="M32" s="348">
        <v>187.69499999999999</v>
      </c>
      <c r="N32" s="349">
        <v>199.30500000000001</v>
      </c>
      <c r="O32" s="350">
        <f t="shared" si="0"/>
        <v>11.610000000000014</v>
      </c>
      <c r="P32" s="351">
        <f t="shared" si="2"/>
        <v>0</v>
      </c>
      <c r="Q32" s="351">
        <f t="shared" si="3"/>
        <v>0</v>
      </c>
      <c r="U32" s="84"/>
      <c r="V32" s="84"/>
    </row>
    <row r="33" spans="1:22" x14ac:dyDescent="0.25">
      <c r="A33" s="275">
        <v>37</v>
      </c>
      <c r="B33" s="78">
        <f>'Salida Prod'!B33</f>
        <v>0</v>
      </c>
      <c r="C33" s="94">
        <f>IF('Entrada Prod (semanal)'!K25&gt;0,'Entrada Prod (semanal)'!K25,IF('Entrada Prod (semanal)'!L25&gt;0,'Entrada Prod (semanal)'!L25*7*B33/1000, ))</f>
        <v>0</v>
      </c>
      <c r="D33" s="81">
        <f>IF('Entrada Prod (semanal)'!L25&gt;0,'Entrada Prod (semanal)'!L25,IF('Entrada Prod (semanal)'!K25&gt;0,'Entrada Prod (semanal)'!K25*1000/7/B33, ))</f>
        <v>0</v>
      </c>
      <c r="E33" s="78">
        <f>IF(C33&gt;0,SUM(C$11:C33), )</f>
        <v>0</v>
      </c>
      <c r="F33" s="81">
        <f>IF('Entrada Prod (semanal)'!N25&gt;0,'Entrada Prod (semanal)'!N25,IF('Entrada Prod (semanal)'!M25&gt;0,'Entrada Prod (semanal)'!M25*1000/7/B33, ))</f>
        <v>0</v>
      </c>
      <c r="G33" s="99">
        <f t="shared" si="4"/>
        <v>0</v>
      </c>
      <c r="H33" s="153">
        <f>IF($J$7&gt;0,IF('Entrada Prod (semanal)'!I25&gt;0,C33/('Salida Prod'!X33*$J$7*('Salida Prod'!K33/100))*10, ), )</f>
        <v>0</v>
      </c>
      <c r="I33" s="154">
        <f>IF($J$7&gt;0,IF('Entrada Prod (semanal)'!I25&gt;0,E33/('Salida Prod'!H33*$J$7*('Salida Prod'!M33/100))*10, ), )</f>
        <v>0</v>
      </c>
      <c r="J33" s="81">
        <f>IF(ISNUMBER('Entrada Prod (semanal)'!J25),'Entrada Prod (semanal)'!J25/10,"")</f>
        <v>0</v>
      </c>
      <c r="K33" s="123">
        <v>193.8</v>
      </c>
      <c r="L33" s="176">
        <f>IF(ISNUMBER('Entrada Prod (semanal)'!O25),'Entrada Prod (semanal)'!O25,"")</f>
        <v>0</v>
      </c>
      <c r="M33" s="348">
        <v>187.98599999999999</v>
      </c>
      <c r="N33" s="349">
        <v>199.614</v>
      </c>
      <c r="O33" s="350">
        <f t="shared" si="0"/>
        <v>11.628000000000014</v>
      </c>
      <c r="P33" s="351">
        <f t="shared" si="2"/>
        <v>0</v>
      </c>
      <c r="Q33" s="351">
        <f t="shared" si="3"/>
        <v>0</v>
      </c>
      <c r="U33" s="84"/>
      <c r="V33" s="84"/>
    </row>
    <row r="34" spans="1:22" x14ac:dyDescent="0.25">
      <c r="A34" s="275">
        <v>38</v>
      </c>
      <c r="B34" s="78">
        <f>'Salida Prod'!B34</f>
        <v>0</v>
      </c>
      <c r="C34" s="94">
        <f>IF('Entrada Prod (semanal)'!K26&gt;0,'Entrada Prod (semanal)'!K26,IF('Entrada Prod (semanal)'!L26&gt;0,'Entrada Prod (semanal)'!L26*7*B34/1000, ))</f>
        <v>0</v>
      </c>
      <c r="D34" s="81">
        <f>IF('Entrada Prod (semanal)'!L26&gt;0,'Entrada Prod (semanal)'!L26,IF('Entrada Prod (semanal)'!K26&gt;0,'Entrada Prod (semanal)'!K26*1000/7/B34, ))</f>
        <v>0</v>
      </c>
      <c r="E34" s="78">
        <f>IF(C34&gt;0,SUM(C$11:C34), )</f>
        <v>0</v>
      </c>
      <c r="F34" s="81">
        <f>IF('Entrada Prod (semanal)'!N26&gt;0,'Entrada Prod (semanal)'!N26,IF('Entrada Prod (semanal)'!M26&gt;0,'Entrada Prod (semanal)'!M26*1000/7/B34, ))</f>
        <v>0</v>
      </c>
      <c r="G34" s="99">
        <f t="shared" si="4"/>
        <v>0</v>
      </c>
      <c r="H34" s="153">
        <f>IF($J$7&gt;0,IF('Entrada Prod (semanal)'!I26&gt;0,C34/('Salida Prod'!X34*$J$7*('Salida Prod'!K34/100))*10, ), )</f>
        <v>0</v>
      </c>
      <c r="I34" s="154">
        <f>IF($J$7&gt;0,IF('Entrada Prod (semanal)'!I26&gt;0,E34/('Salida Prod'!H34*$J$7*('Salida Prod'!M34/100))*10, ), )</f>
        <v>0</v>
      </c>
      <c r="J34" s="81">
        <f>IF(ISNUMBER('Entrada Prod (semanal)'!J26),'Entrada Prod (semanal)'!J26/10,"")</f>
        <v>0</v>
      </c>
      <c r="K34" s="123">
        <v>194</v>
      </c>
      <c r="L34" s="176">
        <f>IF(ISNUMBER('Entrada Prod (semanal)'!O26),'Entrada Prod (semanal)'!O26,"")</f>
        <v>0</v>
      </c>
      <c r="M34" s="348">
        <v>188.18</v>
      </c>
      <c r="N34" s="349">
        <v>199.82</v>
      </c>
      <c r="O34" s="350">
        <f t="shared" si="0"/>
        <v>11.639999999999986</v>
      </c>
      <c r="P34" s="351">
        <f t="shared" si="2"/>
        <v>0</v>
      </c>
      <c r="Q34" s="351">
        <f t="shared" si="3"/>
        <v>0</v>
      </c>
      <c r="U34" s="84"/>
      <c r="V34" s="84"/>
    </row>
    <row r="35" spans="1:22" x14ac:dyDescent="0.25">
      <c r="A35" s="275">
        <v>39</v>
      </c>
      <c r="B35" s="78">
        <f>'Salida Prod'!B35</f>
        <v>0</v>
      </c>
      <c r="C35" s="94">
        <f>IF('Entrada Prod (semanal)'!K27&gt;0,'Entrada Prod (semanal)'!K27,IF('Entrada Prod (semanal)'!L27&gt;0,'Entrada Prod (semanal)'!L27*7*B35/1000, ))</f>
        <v>0</v>
      </c>
      <c r="D35" s="81">
        <f>IF('Entrada Prod (semanal)'!L27&gt;0,'Entrada Prod (semanal)'!L27,IF('Entrada Prod (semanal)'!K27&gt;0,'Entrada Prod (semanal)'!K27*1000/7/B35, ))</f>
        <v>0</v>
      </c>
      <c r="E35" s="78">
        <f>IF(C35&gt;0,SUM(C$11:C35), )</f>
        <v>0</v>
      </c>
      <c r="F35" s="81">
        <f>IF('Entrada Prod (semanal)'!N27&gt;0,'Entrada Prod (semanal)'!N27,IF('Entrada Prod (semanal)'!M27&gt;0,'Entrada Prod (semanal)'!M27*1000/7/B35, ))</f>
        <v>0</v>
      </c>
      <c r="G35" s="99">
        <f t="shared" si="4"/>
        <v>0</v>
      </c>
      <c r="H35" s="153">
        <f>IF($J$7&gt;0,IF('Entrada Prod (semanal)'!I27&gt;0,C35/('Salida Prod'!X35*$J$7*('Salida Prod'!K35/100))*10, ), )</f>
        <v>0</v>
      </c>
      <c r="I35" s="154">
        <f>IF($J$7&gt;0,IF('Entrada Prod (semanal)'!I27&gt;0,E35/('Salida Prod'!H35*$J$7*('Salida Prod'!M35/100))*10, ), )</f>
        <v>0</v>
      </c>
      <c r="J35" s="81">
        <f>IF(ISNUMBER('Entrada Prod (semanal)'!J27),'Entrada Prod (semanal)'!J27/10,"")</f>
        <v>0</v>
      </c>
      <c r="K35" s="123">
        <v>194.3</v>
      </c>
      <c r="L35" s="176">
        <f>IF(ISNUMBER('Entrada Prod (semanal)'!O27),'Entrada Prod (semanal)'!O27,"")</f>
        <v>0</v>
      </c>
      <c r="M35" s="348">
        <v>188.471</v>
      </c>
      <c r="N35" s="349">
        <v>200.12899999999999</v>
      </c>
      <c r="O35" s="350">
        <f t="shared" si="0"/>
        <v>11.657999999999987</v>
      </c>
      <c r="P35" s="351">
        <f t="shared" si="2"/>
        <v>0</v>
      </c>
      <c r="Q35" s="351">
        <f t="shared" si="3"/>
        <v>0</v>
      </c>
      <c r="U35" s="84"/>
      <c r="V35" s="84"/>
    </row>
    <row r="36" spans="1:22" x14ac:dyDescent="0.25">
      <c r="A36" s="276">
        <v>40</v>
      </c>
      <c r="B36" s="68">
        <f>'Salida Prod'!B36</f>
        <v>0</v>
      </c>
      <c r="C36" s="95">
        <f>IF('Entrada Prod (semanal)'!K28&gt;0,'Entrada Prod (semanal)'!K28,IF('Entrada Prod (semanal)'!L28&gt;0,'Entrada Prod (semanal)'!L28*7*B36/1000, ))</f>
        <v>0</v>
      </c>
      <c r="D36" s="82">
        <f>IF('Entrada Prod (semanal)'!L28&gt;0,'Entrada Prod (semanal)'!L28,IF('Entrada Prod (semanal)'!K28&gt;0,'Entrada Prod (semanal)'!K28*1000/7/B36, ))</f>
        <v>0</v>
      </c>
      <c r="E36" s="68">
        <f>IF(C36&gt;0,SUM(C$11:C36), )</f>
        <v>0</v>
      </c>
      <c r="F36" s="82">
        <f>IF('Entrada Prod (semanal)'!N28&gt;0,'Entrada Prod (semanal)'!N28,IF('Entrada Prod (semanal)'!M28&gt;0,'Entrada Prod (semanal)'!M28*1000/7/B36, ))</f>
        <v>0</v>
      </c>
      <c r="G36" s="100">
        <f t="shared" si="4"/>
        <v>0</v>
      </c>
      <c r="H36" s="155">
        <f>IF($J$7&gt;0,IF('Entrada Prod (semanal)'!I28&gt;0,C36/('Salida Prod'!X36*$J$7*('Salida Prod'!K36/100))*10, ), )</f>
        <v>0</v>
      </c>
      <c r="I36" s="105">
        <f>IF($J$7&gt;0,IF('Entrada Prod (semanal)'!I28&gt;0,E36/('Salida Prod'!H36*$J$7*('Salida Prod'!M36/100))*10, ), )</f>
        <v>0</v>
      </c>
      <c r="J36" s="82">
        <f>IF(ISNUMBER('Entrada Prod (semanal)'!J28),'Entrada Prod (semanal)'!J28/10,"")</f>
        <v>0</v>
      </c>
      <c r="K36" s="124">
        <v>194.5</v>
      </c>
      <c r="L36" s="177">
        <f>IF(ISNUMBER('Entrada Prod (semanal)'!O28),'Entrada Prod (semanal)'!O28,"")</f>
        <v>0</v>
      </c>
      <c r="M36" s="348">
        <v>188.66500000000002</v>
      </c>
      <c r="N36" s="349">
        <v>200.33499999999998</v>
      </c>
      <c r="O36" s="350">
        <f t="shared" si="0"/>
        <v>11.669999999999959</v>
      </c>
      <c r="P36" s="351">
        <f t="shared" si="2"/>
        <v>0</v>
      </c>
      <c r="Q36" s="351">
        <f t="shared" si="3"/>
        <v>0</v>
      </c>
      <c r="U36" s="84"/>
      <c r="V36" s="84"/>
    </row>
    <row r="37" spans="1:22" x14ac:dyDescent="0.25">
      <c r="A37" s="275">
        <v>41</v>
      </c>
      <c r="B37" s="78">
        <f>'Salida Prod'!B37</f>
        <v>0</v>
      </c>
      <c r="C37" s="94">
        <f>IF('Entrada Prod (semanal)'!K29&gt;0,'Entrada Prod (semanal)'!K29,IF('Entrada Prod (semanal)'!L29&gt;0,'Entrada Prod (semanal)'!L29*7*B37/1000, ))</f>
        <v>0</v>
      </c>
      <c r="D37" s="81">
        <f>IF('Entrada Prod (semanal)'!L29&gt;0,'Entrada Prod (semanal)'!L29,IF('Entrada Prod (semanal)'!K29&gt;0,'Entrada Prod (semanal)'!K29*1000/7/B37, ))</f>
        <v>0</v>
      </c>
      <c r="E37" s="78">
        <f>IF(C37&gt;0,SUM(C$11:C37), )</f>
        <v>0</v>
      </c>
      <c r="F37" s="81">
        <f>IF('Entrada Prod (semanal)'!N29&gt;0,'Entrada Prod (semanal)'!N29,IF('Entrada Prod (semanal)'!M29&gt;0,'Entrada Prod (semanal)'!M29*1000/7/B37, ))</f>
        <v>0</v>
      </c>
      <c r="G37" s="99">
        <f t="shared" si="4"/>
        <v>0</v>
      </c>
      <c r="H37" s="153">
        <f>IF($J$7&gt;0,IF('Entrada Prod (semanal)'!I29&gt;0,C37/('Salida Prod'!X37*$J$7*('Salida Prod'!K37/100))*10, ), )</f>
        <v>0</v>
      </c>
      <c r="I37" s="154">
        <f>IF($J$7&gt;0,IF('Entrada Prod (semanal)'!I29&gt;0,E37/('Salida Prod'!H37*$J$7*('Salida Prod'!M37/100))*10, ), )</f>
        <v>0</v>
      </c>
      <c r="J37" s="81">
        <f>IF(ISNUMBER('Entrada Prod (semanal)'!J29),'Entrada Prod (semanal)'!J29/10,"")</f>
        <v>0</v>
      </c>
      <c r="K37" s="123">
        <v>194.8</v>
      </c>
      <c r="L37" s="176">
        <f>IF(ISNUMBER('Entrada Prod (semanal)'!O29),'Entrada Prod (semanal)'!O29,"")</f>
        <v>0</v>
      </c>
      <c r="M37" s="348">
        <v>188.95599999999999</v>
      </c>
      <c r="N37" s="349">
        <v>200.64400000000001</v>
      </c>
      <c r="O37" s="350">
        <f t="shared" si="0"/>
        <v>11.688000000000017</v>
      </c>
      <c r="P37" s="351">
        <f t="shared" si="2"/>
        <v>0</v>
      </c>
      <c r="Q37" s="351">
        <f t="shared" si="3"/>
        <v>0</v>
      </c>
      <c r="U37" s="84"/>
      <c r="V37" s="84"/>
    </row>
    <row r="38" spans="1:22" x14ac:dyDescent="0.25">
      <c r="A38" s="275">
        <v>42</v>
      </c>
      <c r="B38" s="78">
        <f>'Salida Prod'!B38</f>
        <v>0</v>
      </c>
      <c r="C38" s="94">
        <f>IF('Entrada Prod (semanal)'!K30&gt;0,'Entrada Prod (semanal)'!K30,IF('Entrada Prod (semanal)'!L30&gt;0,'Entrada Prod (semanal)'!L30*7*B38/1000, ))</f>
        <v>0</v>
      </c>
      <c r="D38" s="81">
        <f>IF('Entrada Prod (semanal)'!L30&gt;0,'Entrada Prod (semanal)'!L30,IF('Entrada Prod (semanal)'!K30&gt;0,'Entrada Prod (semanal)'!K30*1000/7/B38, ))</f>
        <v>0</v>
      </c>
      <c r="E38" s="78">
        <f>IF(C38&gt;0,SUM(C$11:C38), )</f>
        <v>0</v>
      </c>
      <c r="F38" s="81">
        <f>IF('Entrada Prod (semanal)'!N30&gt;0,'Entrada Prod (semanal)'!N30,IF('Entrada Prod (semanal)'!M30&gt;0,'Entrada Prod (semanal)'!M30*1000/7/B38, ))</f>
        <v>0</v>
      </c>
      <c r="G38" s="99">
        <f t="shared" si="4"/>
        <v>0</v>
      </c>
      <c r="H38" s="153">
        <f>IF($J$7&gt;0,IF('Entrada Prod (semanal)'!I30&gt;0,C38/('Salida Prod'!X38*$J$7*('Salida Prod'!K38/100))*10, ), )</f>
        <v>0</v>
      </c>
      <c r="I38" s="154">
        <f>IF($J$7&gt;0,IF('Entrada Prod (semanal)'!I30&gt;0,E38/('Salida Prod'!H38*$J$7*('Salida Prod'!M38/100))*10, ), )</f>
        <v>0</v>
      </c>
      <c r="J38" s="81">
        <f>IF(ISNUMBER('Entrada Prod (semanal)'!J30),'Entrada Prod (semanal)'!J30/10,"")</f>
        <v>0</v>
      </c>
      <c r="K38" s="123">
        <v>195.1</v>
      </c>
      <c r="L38" s="176">
        <f>IF(ISNUMBER('Entrada Prod (semanal)'!O30),'Entrada Prod (semanal)'!O30,"")</f>
        <v>0</v>
      </c>
      <c r="M38" s="348">
        <v>189.24700000000001</v>
      </c>
      <c r="N38" s="349">
        <v>200.953</v>
      </c>
      <c r="O38" s="350">
        <f t="shared" si="0"/>
        <v>11.705999999999989</v>
      </c>
      <c r="P38" s="351">
        <f t="shared" si="2"/>
        <v>0</v>
      </c>
      <c r="Q38" s="351">
        <f t="shared" si="3"/>
        <v>0</v>
      </c>
      <c r="U38" s="84"/>
      <c r="V38" s="84"/>
    </row>
    <row r="39" spans="1:22" x14ac:dyDescent="0.25">
      <c r="A39" s="275">
        <v>43</v>
      </c>
      <c r="B39" s="78">
        <f>'Salida Prod'!B39</f>
        <v>0</v>
      </c>
      <c r="C39" s="94">
        <f>IF('Entrada Prod (semanal)'!K31&gt;0,'Entrada Prod (semanal)'!K31,IF('Entrada Prod (semanal)'!L31&gt;0,'Entrada Prod (semanal)'!L31*7*B39/1000, ))</f>
        <v>0</v>
      </c>
      <c r="D39" s="81">
        <f>IF('Entrada Prod (semanal)'!L31&gt;0,'Entrada Prod (semanal)'!L31,IF('Entrada Prod (semanal)'!K31&gt;0,'Entrada Prod (semanal)'!K31*1000/7/B39, ))</f>
        <v>0</v>
      </c>
      <c r="E39" s="78">
        <f>IF(C39&gt;0,SUM(C$11:C39), )</f>
        <v>0</v>
      </c>
      <c r="F39" s="81">
        <f>IF('Entrada Prod (semanal)'!N31&gt;0,'Entrada Prod (semanal)'!N31,IF('Entrada Prod (semanal)'!M31&gt;0,'Entrada Prod (semanal)'!M31*1000/7/B39, ))</f>
        <v>0</v>
      </c>
      <c r="G39" s="99">
        <f t="shared" si="4"/>
        <v>0</v>
      </c>
      <c r="H39" s="153">
        <f>IF($J$7&gt;0,IF('Entrada Prod (semanal)'!I31&gt;0,C39/('Salida Prod'!X39*$J$7*('Salida Prod'!K39/100))*10, ), )</f>
        <v>0</v>
      </c>
      <c r="I39" s="154">
        <f>IF($J$7&gt;0,IF('Entrada Prod (semanal)'!I31&gt;0,E39/('Salida Prod'!H39*$J$7*('Salida Prod'!M39/100))*10, ), )</f>
        <v>0</v>
      </c>
      <c r="J39" s="81">
        <f>IF(ISNUMBER('Entrada Prod (semanal)'!J31),'Entrada Prod (semanal)'!J31/10,"")</f>
        <v>0</v>
      </c>
      <c r="K39" s="123">
        <v>195.3</v>
      </c>
      <c r="L39" s="176">
        <f>IF(ISNUMBER('Entrada Prod (semanal)'!O31),'Entrada Prod (semanal)'!O31,"")</f>
        <v>0</v>
      </c>
      <c r="M39" s="348">
        <v>189.441</v>
      </c>
      <c r="N39" s="349">
        <v>201.15899999999999</v>
      </c>
      <c r="O39" s="350">
        <f t="shared" si="0"/>
        <v>11.717999999999989</v>
      </c>
      <c r="P39" s="351">
        <f t="shared" si="2"/>
        <v>0</v>
      </c>
      <c r="Q39" s="351">
        <f t="shared" si="3"/>
        <v>0</v>
      </c>
      <c r="U39" s="84"/>
      <c r="V39" s="84"/>
    </row>
    <row r="40" spans="1:22" x14ac:dyDescent="0.25">
      <c r="A40" s="276">
        <v>44</v>
      </c>
      <c r="B40" s="68">
        <f>'Salida Prod'!B40</f>
        <v>0</v>
      </c>
      <c r="C40" s="95">
        <f>IF('Entrada Prod (semanal)'!K32&gt;0,'Entrada Prod (semanal)'!K32,IF('Entrada Prod (semanal)'!L32&gt;0,'Entrada Prod (semanal)'!L32*7*B40/1000, ))</f>
        <v>0</v>
      </c>
      <c r="D40" s="82">
        <f>IF('Entrada Prod (semanal)'!L32&gt;0,'Entrada Prod (semanal)'!L32,IF('Entrada Prod (semanal)'!K32&gt;0,'Entrada Prod (semanal)'!K32*1000/7/B40, ))</f>
        <v>0</v>
      </c>
      <c r="E40" s="68">
        <f>IF(C40&gt;0,SUM(C$11:C40), )</f>
        <v>0</v>
      </c>
      <c r="F40" s="82">
        <f>IF('Entrada Prod (semanal)'!N32&gt;0,'Entrada Prod (semanal)'!N32,IF('Entrada Prod (semanal)'!M32&gt;0,'Entrada Prod (semanal)'!M32*1000/7/B40, ))</f>
        <v>0</v>
      </c>
      <c r="G40" s="100">
        <f t="shared" si="4"/>
        <v>0</v>
      </c>
      <c r="H40" s="155">
        <f>IF($J$7&gt;0,IF('Entrada Prod (semanal)'!I32&gt;0,C40/('Salida Prod'!X40*$J$7*('Salida Prod'!K40/100))*10, ), )</f>
        <v>0</v>
      </c>
      <c r="I40" s="105">
        <f>IF($J$7&gt;0,IF('Entrada Prod (semanal)'!I32&gt;0,E40/('Salida Prod'!H40*$J$7*('Salida Prod'!M40/100))*10, ), )</f>
        <v>0</v>
      </c>
      <c r="J40" s="82">
        <f>IF(ISNUMBER('Entrada Prod (semanal)'!J32),'Entrada Prod (semanal)'!J32/10,"")</f>
        <v>0</v>
      </c>
      <c r="K40" s="124">
        <v>195.5</v>
      </c>
      <c r="L40" s="177">
        <f>IF(ISNUMBER('Entrada Prod (semanal)'!O32),'Entrada Prod (semanal)'!O32,"")</f>
        <v>0</v>
      </c>
      <c r="M40" s="348">
        <v>189.63499999999999</v>
      </c>
      <c r="N40" s="349">
        <v>201.36500000000001</v>
      </c>
      <c r="O40" s="350">
        <f t="shared" si="0"/>
        <v>11.730000000000018</v>
      </c>
      <c r="P40" s="351">
        <f t="shared" si="2"/>
        <v>0</v>
      </c>
      <c r="Q40" s="351">
        <f t="shared" si="3"/>
        <v>0</v>
      </c>
      <c r="U40" s="84"/>
      <c r="V40" s="84"/>
    </row>
    <row r="41" spans="1:22" x14ac:dyDescent="0.25">
      <c r="A41" s="275">
        <v>45</v>
      </c>
      <c r="B41" s="78">
        <f>'Salida Prod'!B41</f>
        <v>0</v>
      </c>
      <c r="C41" s="94">
        <f>IF('Entrada Prod (semanal)'!K33&gt;0,'Entrada Prod (semanal)'!K33,IF('Entrada Prod (semanal)'!L33&gt;0,'Entrada Prod (semanal)'!L33*7*B41/1000, ))</f>
        <v>0</v>
      </c>
      <c r="D41" s="81">
        <f>IF('Entrada Prod (semanal)'!L33&gt;0,'Entrada Prod (semanal)'!L33,IF('Entrada Prod (semanal)'!K33&gt;0,'Entrada Prod (semanal)'!K33*1000/7/B41, ))</f>
        <v>0</v>
      </c>
      <c r="E41" s="78">
        <f>IF(C41&gt;0,SUM(C$11:C41), )</f>
        <v>0</v>
      </c>
      <c r="F41" s="81">
        <f>IF('Entrada Prod (semanal)'!N33&gt;0,'Entrada Prod (semanal)'!N33,IF('Entrada Prod (semanal)'!M33&gt;0,'Entrada Prod (semanal)'!M33*1000/7/B41, ))</f>
        <v>0</v>
      </c>
      <c r="G41" s="99">
        <f t="shared" si="4"/>
        <v>0</v>
      </c>
      <c r="H41" s="153">
        <f>IF($J$7&gt;0,IF('Entrada Prod (semanal)'!I33&gt;0,C41/('Salida Prod'!X41*$J$7*('Salida Prod'!K41/100))*10, ), )</f>
        <v>0</v>
      </c>
      <c r="I41" s="154">
        <f>IF($J$7&gt;0,IF('Entrada Prod (semanal)'!I33&gt;0,E41/('Salida Prod'!H41*$J$7*('Salida Prod'!M41/100))*10, ), )</f>
        <v>0</v>
      </c>
      <c r="J41" s="81">
        <f>IF(ISNUMBER('Entrada Prod (semanal)'!J33),'Entrada Prod (semanal)'!J33/10,"")</f>
        <v>0</v>
      </c>
      <c r="K41" s="123">
        <v>195.8</v>
      </c>
      <c r="L41" s="176">
        <f>IF(ISNUMBER('Entrada Prod (semanal)'!O33),'Entrada Prod (semanal)'!O33,"")</f>
        <v>0</v>
      </c>
      <c r="M41" s="348">
        <v>189.92599999999999</v>
      </c>
      <c r="N41" s="349">
        <v>201.67400000000001</v>
      </c>
      <c r="O41" s="350">
        <f t="shared" si="0"/>
        <v>11.748000000000019</v>
      </c>
      <c r="P41" s="351">
        <f t="shared" si="2"/>
        <v>0</v>
      </c>
      <c r="Q41" s="351">
        <f t="shared" si="3"/>
        <v>0</v>
      </c>
      <c r="U41" s="84"/>
      <c r="V41" s="84"/>
    </row>
    <row r="42" spans="1:22" x14ac:dyDescent="0.25">
      <c r="A42" s="275">
        <v>46</v>
      </c>
      <c r="B42" s="78">
        <f>'Salida Prod'!B42</f>
        <v>0</v>
      </c>
      <c r="C42" s="94">
        <f>IF('Entrada Prod (semanal)'!K34&gt;0,'Entrada Prod (semanal)'!K34,IF('Entrada Prod (semanal)'!L34&gt;0,'Entrada Prod (semanal)'!L34*7*B42/1000, ))</f>
        <v>0</v>
      </c>
      <c r="D42" s="81">
        <f>IF('Entrada Prod (semanal)'!L34&gt;0,'Entrada Prod (semanal)'!L34,IF('Entrada Prod (semanal)'!K34&gt;0,'Entrada Prod (semanal)'!K34*1000/7/B42, ))</f>
        <v>0</v>
      </c>
      <c r="E42" s="78">
        <f>IF(C42&gt;0,SUM(C$11:C42), )</f>
        <v>0</v>
      </c>
      <c r="F42" s="81">
        <f>IF('Entrada Prod (semanal)'!N34&gt;0,'Entrada Prod (semanal)'!N34,IF('Entrada Prod (semanal)'!M34&gt;0,'Entrada Prod (semanal)'!M34*1000/7/B42, ))</f>
        <v>0</v>
      </c>
      <c r="G42" s="99">
        <f t="shared" si="4"/>
        <v>0</v>
      </c>
      <c r="H42" s="153">
        <f>IF($J$7&gt;0,IF('Entrada Prod (semanal)'!I34&gt;0,C42/('Salida Prod'!X42*$J$7*('Salida Prod'!K42/100))*10, ), )</f>
        <v>0</v>
      </c>
      <c r="I42" s="154">
        <f>IF($J$7&gt;0,IF('Entrada Prod (semanal)'!I34&gt;0,E42/('Salida Prod'!H42*$J$7*('Salida Prod'!M42/100))*10, ), )</f>
        <v>0</v>
      </c>
      <c r="J42" s="81">
        <f>IF(ISNUMBER('Entrada Prod (semanal)'!J34),'Entrada Prod (semanal)'!J34/10,"")</f>
        <v>0</v>
      </c>
      <c r="K42" s="123">
        <v>196</v>
      </c>
      <c r="L42" s="176">
        <f>IF(ISNUMBER('Entrada Prod (semanal)'!O34),'Entrada Prod (semanal)'!O34,"")</f>
        <v>0</v>
      </c>
      <c r="M42" s="348">
        <v>190.12</v>
      </c>
      <c r="N42" s="349">
        <v>201.88</v>
      </c>
      <c r="O42" s="350">
        <f t="shared" si="0"/>
        <v>11.759999999999991</v>
      </c>
      <c r="P42" s="351">
        <f t="shared" si="2"/>
        <v>0</v>
      </c>
      <c r="Q42" s="351">
        <f t="shared" si="3"/>
        <v>0</v>
      </c>
      <c r="U42" s="84"/>
      <c r="V42" s="84"/>
    </row>
    <row r="43" spans="1:22" x14ac:dyDescent="0.25">
      <c r="A43" s="275">
        <v>47</v>
      </c>
      <c r="B43" s="78">
        <f>'Salida Prod'!B43</f>
        <v>0</v>
      </c>
      <c r="C43" s="94">
        <f>IF('Entrada Prod (semanal)'!K35&gt;0,'Entrada Prod (semanal)'!K35,IF('Entrada Prod (semanal)'!L35&gt;0,'Entrada Prod (semanal)'!L35*7*B43/1000, ))</f>
        <v>0</v>
      </c>
      <c r="D43" s="81">
        <f>IF('Entrada Prod (semanal)'!L35&gt;0,'Entrada Prod (semanal)'!L35,IF('Entrada Prod (semanal)'!K35&gt;0,'Entrada Prod (semanal)'!K35*1000/7/B43, ))</f>
        <v>0</v>
      </c>
      <c r="E43" s="78">
        <f>IF(C43&gt;0,SUM(C$11:C43), )</f>
        <v>0</v>
      </c>
      <c r="F43" s="81">
        <f>IF('Entrada Prod (semanal)'!N35&gt;0,'Entrada Prod (semanal)'!N35,IF('Entrada Prod (semanal)'!M35&gt;0,'Entrada Prod (semanal)'!M35*1000/7/B43, ))</f>
        <v>0</v>
      </c>
      <c r="G43" s="99">
        <f t="shared" si="4"/>
        <v>0</v>
      </c>
      <c r="H43" s="153">
        <f>IF($J$7&gt;0,IF('Entrada Prod (semanal)'!I35&gt;0,C43/('Salida Prod'!X43*$J$7*('Salida Prod'!K43/100))*10, ), )</f>
        <v>0</v>
      </c>
      <c r="I43" s="154">
        <f>IF($J$7&gt;0,IF('Entrada Prod (semanal)'!I35&gt;0,E43/('Salida Prod'!H43*$J$7*('Salida Prod'!M43/100))*10, ), )</f>
        <v>0</v>
      </c>
      <c r="J43" s="81">
        <f>IF(ISNUMBER('Entrada Prod (semanal)'!J35),'Entrada Prod (semanal)'!J35/10,"")</f>
        <v>0</v>
      </c>
      <c r="K43" s="123">
        <v>196.3</v>
      </c>
      <c r="L43" s="176">
        <f>IF(ISNUMBER('Entrada Prod (semanal)'!O35),'Entrada Prod (semanal)'!O35,"")</f>
        <v>0</v>
      </c>
      <c r="M43" s="348">
        <v>190.411</v>
      </c>
      <c r="N43" s="349">
        <v>202.18900000000002</v>
      </c>
      <c r="O43" s="350">
        <f t="shared" ref="O43:O74" si="5">N43-M43</f>
        <v>11.77800000000002</v>
      </c>
      <c r="P43" s="351">
        <f t="shared" si="2"/>
        <v>0</v>
      </c>
      <c r="Q43" s="351">
        <f t="shared" si="3"/>
        <v>0</v>
      </c>
      <c r="U43" s="84"/>
      <c r="V43" s="84"/>
    </row>
    <row r="44" spans="1:22" x14ac:dyDescent="0.25">
      <c r="A44" s="276">
        <v>48</v>
      </c>
      <c r="B44" s="68">
        <f>'Salida Prod'!B44</f>
        <v>0</v>
      </c>
      <c r="C44" s="95">
        <f>IF('Entrada Prod (semanal)'!K36&gt;0,'Entrada Prod (semanal)'!K36,IF('Entrada Prod (semanal)'!L36&gt;0,'Entrada Prod (semanal)'!L36*7*B44/1000, ))</f>
        <v>0</v>
      </c>
      <c r="D44" s="82">
        <f>IF('Entrada Prod (semanal)'!L36&gt;0,'Entrada Prod (semanal)'!L36,IF('Entrada Prod (semanal)'!K36&gt;0,'Entrada Prod (semanal)'!K36*1000/7/B44, ))</f>
        <v>0</v>
      </c>
      <c r="E44" s="68">
        <f>IF(C44&gt;0,SUM(C$11:C44), )</f>
        <v>0</v>
      </c>
      <c r="F44" s="82">
        <f>IF('Entrada Prod (semanal)'!N36&gt;0,'Entrada Prod (semanal)'!N36,IF('Entrada Prod (semanal)'!M36&gt;0,'Entrada Prod (semanal)'!M36*1000/7/B44, ))</f>
        <v>0</v>
      </c>
      <c r="G44" s="100">
        <f t="shared" ref="G44:G59" si="6">IF(D44&gt;0,IF(F44&gt;0,F44/D44, ), )</f>
        <v>0</v>
      </c>
      <c r="H44" s="155">
        <f>IF($J$7&gt;0,IF('Entrada Prod (semanal)'!I36&gt;0,C44/('Salida Prod'!X44*$J$7*('Salida Prod'!K44/100))*10, ), )</f>
        <v>0</v>
      </c>
      <c r="I44" s="105">
        <f>IF($J$7&gt;0,IF('Entrada Prod (semanal)'!I36&gt;0,E44/('Salida Prod'!H44*$J$7*('Salida Prod'!M44/100))*10, ), )</f>
        <v>0</v>
      </c>
      <c r="J44" s="82">
        <f>IF(ISNUMBER('Entrada Prod (semanal)'!J36),'Entrada Prod (semanal)'!J36/10,"")</f>
        <v>0</v>
      </c>
      <c r="K44" s="124">
        <v>196.5</v>
      </c>
      <c r="L44" s="177">
        <f>IF(ISNUMBER('Entrada Prod (semanal)'!O36),'Entrada Prod (semanal)'!O36,"")</f>
        <v>0</v>
      </c>
      <c r="M44" s="348">
        <v>190.60499999999999</v>
      </c>
      <c r="N44" s="349">
        <v>202.39500000000001</v>
      </c>
      <c r="O44" s="350">
        <f t="shared" si="5"/>
        <v>11.79000000000002</v>
      </c>
      <c r="P44" s="351">
        <f t="shared" ref="P44:P75" si="7">IF(H44&gt;0,H44,P43)</f>
        <v>0</v>
      </c>
      <c r="Q44" s="351">
        <f t="shared" ref="Q44:Q75" si="8">IF(I44&gt;0,I44,Q43)</f>
        <v>0</v>
      </c>
      <c r="U44" s="84"/>
      <c r="V44" s="84"/>
    </row>
    <row r="45" spans="1:22" x14ac:dyDescent="0.25">
      <c r="A45" s="275">
        <v>49</v>
      </c>
      <c r="B45" s="78">
        <f>'Salida Prod'!B45</f>
        <v>0</v>
      </c>
      <c r="C45" s="94">
        <f>IF('Entrada Prod (semanal)'!K37&gt;0,'Entrada Prod (semanal)'!K37,IF('Entrada Prod (semanal)'!L37&gt;0,'Entrada Prod (semanal)'!L37*7*B45/1000, ))</f>
        <v>0</v>
      </c>
      <c r="D45" s="81">
        <f>IF('Entrada Prod (semanal)'!L37&gt;0,'Entrada Prod (semanal)'!L37,IF('Entrada Prod (semanal)'!K37&gt;0,'Entrada Prod (semanal)'!K37*1000/7/B45, ))</f>
        <v>0</v>
      </c>
      <c r="E45" s="78">
        <f>IF(C45&gt;0,SUM(C$11:C45), )</f>
        <v>0</v>
      </c>
      <c r="F45" s="81">
        <f>IF('Entrada Prod (semanal)'!N37&gt;0,'Entrada Prod (semanal)'!N37,IF('Entrada Prod (semanal)'!M37&gt;0,'Entrada Prod (semanal)'!M37*1000/7/B45, ))</f>
        <v>0</v>
      </c>
      <c r="G45" s="99">
        <f t="shared" si="6"/>
        <v>0</v>
      </c>
      <c r="H45" s="153">
        <f>IF($J$7&gt;0,IF('Entrada Prod (semanal)'!I37&gt;0,C45/('Salida Prod'!X45*$J$7*('Salida Prod'!K45/100))*10, ), )</f>
        <v>0</v>
      </c>
      <c r="I45" s="154">
        <f>IF($J$7&gt;0,IF('Entrada Prod (semanal)'!I37&gt;0,E45/('Salida Prod'!H45*$J$7*('Salida Prod'!M45/100))*10, ), )</f>
        <v>0</v>
      </c>
      <c r="J45" s="81">
        <f>IF(ISNUMBER('Entrada Prod (semanal)'!J37),'Entrada Prod (semanal)'!J37/10,"")</f>
        <v>0</v>
      </c>
      <c r="K45" s="123">
        <v>196.8</v>
      </c>
      <c r="L45" s="176">
        <f>IF(ISNUMBER('Entrada Prod (semanal)'!O37),'Entrada Prod (semanal)'!O37,"")</f>
        <v>0</v>
      </c>
      <c r="M45" s="348">
        <v>190.89600000000002</v>
      </c>
      <c r="N45" s="349">
        <v>202.70400000000001</v>
      </c>
      <c r="O45" s="350">
        <f t="shared" si="5"/>
        <v>11.807999999999993</v>
      </c>
      <c r="P45" s="351">
        <f t="shared" si="7"/>
        <v>0</v>
      </c>
      <c r="Q45" s="351">
        <f t="shared" si="8"/>
        <v>0</v>
      </c>
      <c r="U45" s="84"/>
      <c r="V45" s="84"/>
    </row>
    <row r="46" spans="1:22" x14ac:dyDescent="0.25">
      <c r="A46" s="275">
        <v>50</v>
      </c>
      <c r="B46" s="78">
        <f>'Salida Prod'!B46</f>
        <v>0</v>
      </c>
      <c r="C46" s="94">
        <f>IF('Entrada Prod (semanal)'!K38&gt;0,'Entrada Prod (semanal)'!K38,IF('Entrada Prod (semanal)'!L38&gt;0,'Entrada Prod (semanal)'!L38*7*B46/1000, ))</f>
        <v>0</v>
      </c>
      <c r="D46" s="81">
        <f>IF('Entrada Prod (semanal)'!L38&gt;0,'Entrada Prod (semanal)'!L38,IF('Entrada Prod (semanal)'!K38&gt;0,'Entrada Prod (semanal)'!K38*1000/7/B46, ))</f>
        <v>0</v>
      </c>
      <c r="E46" s="78">
        <f>IF(C46&gt;0,SUM(C$11:C46), )</f>
        <v>0</v>
      </c>
      <c r="F46" s="81">
        <f>IF('Entrada Prod (semanal)'!N38&gt;0,'Entrada Prod (semanal)'!N38,IF('Entrada Prod (semanal)'!M38&gt;0,'Entrada Prod (semanal)'!M38*1000/7/B46, ))</f>
        <v>0</v>
      </c>
      <c r="G46" s="99">
        <f t="shared" si="6"/>
        <v>0</v>
      </c>
      <c r="H46" s="153">
        <f>IF($J$7&gt;0,IF('Entrada Prod (semanal)'!I38&gt;0,C46/('Salida Prod'!X46*$J$7*('Salida Prod'!K46/100))*10, ), )</f>
        <v>0</v>
      </c>
      <c r="I46" s="154">
        <f>IF($J$7&gt;0,IF('Entrada Prod (semanal)'!I38&gt;0,E46/('Salida Prod'!H46*$J$7*('Salida Prod'!M46/100))*10, ), )</f>
        <v>0</v>
      </c>
      <c r="J46" s="81">
        <f>IF(ISNUMBER('Entrada Prod (semanal)'!J38),'Entrada Prod (semanal)'!J38/10,"")</f>
        <v>0</v>
      </c>
      <c r="K46" s="123">
        <v>197.1</v>
      </c>
      <c r="L46" s="176">
        <f>IF(ISNUMBER('Entrada Prod (semanal)'!O38),'Entrada Prod (semanal)'!O38,"")</f>
        <v>0</v>
      </c>
      <c r="M46" s="348">
        <v>191.18699999999998</v>
      </c>
      <c r="N46" s="349">
        <v>203.01300000000001</v>
      </c>
      <c r="O46" s="350">
        <f t="shared" si="5"/>
        <v>11.826000000000022</v>
      </c>
      <c r="P46" s="351">
        <f t="shared" si="7"/>
        <v>0</v>
      </c>
      <c r="Q46" s="351">
        <f t="shared" si="8"/>
        <v>0</v>
      </c>
      <c r="U46" s="84"/>
      <c r="V46" s="84"/>
    </row>
    <row r="47" spans="1:22" x14ac:dyDescent="0.25">
      <c r="A47" s="275">
        <v>51</v>
      </c>
      <c r="B47" s="78">
        <f>'Salida Prod'!B47</f>
        <v>0</v>
      </c>
      <c r="C47" s="94">
        <f>IF('Entrada Prod (semanal)'!K39&gt;0,'Entrada Prod (semanal)'!K39,IF('Entrada Prod (semanal)'!L39&gt;0,'Entrada Prod (semanal)'!L39*7*B47/1000, ))</f>
        <v>0</v>
      </c>
      <c r="D47" s="81">
        <f>IF('Entrada Prod (semanal)'!L39&gt;0,'Entrada Prod (semanal)'!L39,IF('Entrada Prod (semanal)'!K39&gt;0,'Entrada Prod (semanal)'!K39*1000/7/B47, ))</f>
        <v>0</v>
      </c>
      <c r="E47" s="78">
        <f>IF(C47&gt;0,SUM(C$11:C47), )</f>
        <v>0</v>
      </c>
      <c r="F47" s="81">
        <f>IF('Entrada Prod (semanal)'!N39&gt;0,'Entrada Prod (semanal)'!N39,IF('Entrada Prod (semanal)'!M39&gt;0,'Entrada Prod (semanal)'!M39*1000/7/B47, ))</f>
        <v>0</v>
      </c>
      <c r="G47" s="99">
        <f t="shared" si="6"/>
        <v>0</v>
      </c>
      <c r="H47" s="153">
        <f>IF($J$7&gt;0,IF('Entrada Prod (semanal)'!I39&gt;0,C47/('Salida Prod'!X47*$J$7*('Salida Prod'!K47/100))*10, ), )</f>
        <v>0</v>
      </c>
      <c r="I47" s="154">
        <f>IF($J$7&gt;0,IF('Entrada Prod (semanal)'!I39&gt;0,E47/('Salida Prod'!H47*$J$7*('Salida Prod'!M47/100))*10, ), )</f>
        <v>0</v>
      </c>
      <c r="J47" s="81">
        <f>IF(ISNUMBER('Entrada Prod (semanal)'!J39),'Entrada Prod (semanal)'!J39/10,"")</f>
        <v>0</v>
      </c>
      <c r="K47" s="123">
        <v>197.3</v>
      </c>
      <c r="L47" s="176">
        <f>IF(ISNUMBER('Entrada Prod (semanal)'!O39),'Entrada Prod (semanal)'!O39,"")</f>
        <v>0</v>
      </c>
      <c r="M47" s="348">
        <v>191.381</v>
      </c>
      <c r="N47" s="349">
        <v>203.21899999999999</v>
      </c>
      <c r="O47" s="350">
        <f t="shared" si="5"/>
        <v>11.837999999999994</v>
      </c>
      <c r="P47" s="351">
        <f t="shared" si="7"/>
        <v>0</v>
      </c>
      <c r="Q47" s="351">
        <f t="shared" si="8"/>
        <v>0</v>
      </c>
      <c r="U47" s="84"/>
      <c r="V47" s="84"/>
    </row>
    <row r="48" spans="1:22" x14ac:dyDescent="0.25">
      <c r="A48" s="276">
        <v>52</v>
      </c>
      <c r="B48" s="68">
        <f>'Salida Prod'!B48</f>
        <v>0</v>
      </c>
      <c r="C48" s="95">
        <f>IF('Entrada Prod (semanal)'!K40&gt;0,'Entrada Prod (semanal)'!K40,IF('Entrada Prod (semanal)'!L40&gt;0,'Entrada Prod (semanal)'!L40*7*B48/1000, ))</f>
        <v>0</v>
      </c>
      <c r="D48" s="82">
        <f>IF('Entrada Prod (semanal)'!L40&gt;0,'Entrada Prod (semanal)'!L40,IF('Entrada Prod (semanal)'!K40&gt;0,'Entrada Prod (semanal)'!K40*1000/7/B48, ))</f>
        <v>0</v>
      </c>
      <c r="E48" s="68">
        <f>IF(C48&gt;0,SUM(C$11:C48), )</f>
        <v>0</v>
      </c>
      <c r="F48" s="82">
        <f>IF('Entrada Prod (semanal)'!N40&gt;0,'Entrada Prod (semanal)'!N40,IF('Entrada Prod (semanal)'!M40&gt;0,'Entrada Prod (semanal)'!M40*1000/7/B48, ))</f>
        <v>0</v>
      </c>
      <c r="G48" s="100">
        <f t="shared" si="6"/>
        <v>0</v>
      </c>
      <c r="H48" s="155">
        <f>IF($J$7&gt;0,IF('Entrada Prod (semanal)'!I40&gt;0,C48/('Salida Prod'!X48*$J$7*('Salida Prod'!K48/100))*10, ), )</f>
        <v>0</v>
      </c>
      <c r="I48" s="105">
        <f>IF($J$7&gt;0,IF('Entrada Prod (semanal)'!I40&gt;0,E48/('Salida Prod'!H48*$J$7*('Salida Prod'!M48/100))*10, ), )</f>
        <v>0</v>
      </c>
      <c r="J48" s="82">
        <f>IF(ISNUMBER('Entrada Prod (semanal)'!J40),'Entrada Prod (semanal)'!J40/10,"")</f>
        <v>0</v>
      </c>
      <c r="K48" s="124">
        <v>197.5</v>
      </c>
      <c r="L48" s="177">
        <f>IF(ISNUMBER('Entrada Prod (semanal)'!O40),'Entrada Prod (semanal)'!O40,"")</f>
        <v>0</v>
      </c>
      <c r="M48" s="348">
        <v>191.57499999999999</v>
      </c>
      <c r="N48" s="349">
        <v>203.42500000000001</v>
      </c>
      <c r="O48" s="350">
        <f t="shared" si="5"/>
        <v>11.850000000000023</v>
      </c>
      <c r="P48" s="351">
        <f t="shared" si="7"/>
        <v>0</v>
      </c>
      <c r="Q48" s="351">
        <f t="shared" si="8"/>
        <v>0</v>
      </c>
      <c r="U48" s="84"/>
      <c r="V48" s="84"/>
    </row>
    <row r="49" spans="1:22" x14ac:dyDescent="0.25">
      <c r="A49" s="275">
        <v>53</v>
      </c>
      <c r="B49" s="78">
        <f>'Salida Prod'!B49</f>
        <v>0</v>
      </c>
      <c r="C49" s="94">
        <f>IF('Entrada Prod (semanal)'!K41&gt;0,'Entrada Prod (semanal)'!K41,IF('Entrada Prod (semanal)'!L41&gt;0,'Entrada Prod (semanal)'!L41*7*B49/1000, ))</f>
        <v>0</v>
      </c>
      <c r="D49" s="81">
        <f>IF('Entrada Prod (semanal)'!L41&gt;0,'Entrada Prod (semanal)'!L41,IF('Entrada Prod (semanal)'!K41&gt;0,'Entrada Prod (semanal)'!K41*1000/7/B49, ))</f>
        <v>0</v>
      </c>
      <c r="E49" s="78">
        <f>IF(C49&gt;0,SUM(C$11:C49), )</f>
        <v>0</v>
      </c>
      <c r="F49" s="81">
        <f>IF('Entrada Prod (semanal)'!N41&gt;0,'Entrada Prod (semanal)'!N41,IF('Entrada Prod (semanal)'!M41&gt;0,'Entrada Prod (semanal)'!M41*1000/7/B49, ))</f>
        <v>0</v>
      </c>
      <c r="G49" s="99">
        <f t="shared" si="6"/>
        <v>0</v>
      </c>
      <c r="H49" s="153">
        <f>IF($J$7&gt;0,IF('Entrada Prod (semanal)'!I41&gt;0,C49/('Salida Prod'!X49*$J$7*('Salida Prod'!K49/100))*10, ), )</f>
        <v>0</v>
      </c>
      <c r="I49" s="154">
        <f>IF($J$7&gt;0,IF('Entrada Prod (semanal)'!I41&gt;0,E49/('Salida Prod'!H49*$J$7*('Salida Prod'!M49/100))*10, ), )</f>
        <v>0</v>
      </c>
      <c r="J49" s="81">
        <f>IF(ISNUMBER('Entrada Prod (semanal)'!J41),'Entrada Prod (semanal)'!J41/10,"")</f>
        <v>0</v>
      </c>
      <c r="K49" s="123">
        <v>197.8</v>
      </c>
      <c r="L49" s="176">
        <f>IF(ISNUMBER('Entrada Prod (semanal)'!O41),'Entrada Prod (semanal)'!O41,"")</f>
        <v>0</v>
      </c>
      <c r="M49" s="348">
        <v>191.86600000000001</v>
      </c>
      <c r="N49" s="349">
        <v>203.73399999999998</v>
      </c>
      <c r="O49" s="350">
        <f t="shared" si="5"/>
        <v>11.867999999999967</v>
      </c>
      <c r="P49" s="351">
        <f t="shared" si="7"/>
        <v>0</v>
      </c>
      <c r="Q49" s="351">
        <f t="shared" si="8"/>
        <v>0</v>
      </c>
      <c r="U49" s="84"/>
      <c r="V49" s="84"/>
    </row>
    <row r="50" spans="1:22" x14ac:dyDescent="0.25">
      <c r="A50" s="275">
        <v>54</v>
      </c>
      <c r="B50" s="78">
        <f>'Salida Prod'!B50</f>
        <v>0</v>
      </c>
      <c r="C50" s="94">
        <f>IF('Entrada Prod (semanal)'!K42&gt;0,'Entrada Prod (semanal)'!K42,IF('Entrada Prod (semanal)'!L42&gt;0,'Entrada Prod (semanal)'!L42*7*B50/1000, ))</f>
        <v>0</v>
      </c>
      <c r="D50" s="81">
        <f>IF('Entrada Prod (semanal)'!L42&gt;0,'Entrada Prod (semanal)'!L42,IF('Entrada Prod (semanal)'!K42&gt;0,'Entrada Prod (semanal)'!K42*1000/7/B50, ))</f>
        <v>0</v>
      </c>
      <c r="E50" s="78">
        <f>IF(C50&gt;0,SUM(C$11:C50), )</f>
        <v>0</v>
      </c>
      <c r="F50" s="81">
        <f>IF('Entrada Prod (semanal)'!N42&gt;0,'Entrada Prod (semanal)'!N42,IF('Entrada Prod (semanal)'!M42&gt;0,'Entrada Prod (semanal)'!M42*1000/7/B50, ))</f>
        <v>0</v>
      </c>
      <c r="G50" s="99">
        <f t="shared" si="6"/>
        <v>0</v>
      </c>
      <c r="H50" s="153">
        <f>IF($J$7&gt;0,IF('Entrada Prod (semanal)'!I42&gt;0,C50/('Salida Prod'!X50*$J$7*('Salida Prod'!K50/100))*10, ), )</f>
        <v>0</v>
      </c>
      <c r="I50" s="154">
        <f>IF($J$7&gt;0,IF('Entrada Prod (semanal)'!I42&gt;0,E50/('Salida Prod'!H50*$J$7*('Salida Prod'!M50/100))*10, ), )</f>
        <v>0</v>
      </c>
      <c r="J50" s="81">
        <f>IF(ISNUMBER('Entrada Prod (semanal)'!J42),'Entrada Prod (semanal)'!J42/10,"")</f>
        <v>0</v>
      </c>
      <c r="K50" s="123">
        <v>198</v>
      </c>
      <c r="L50" s="176">
        <f>IF(ISNUMBER('Entrada Prod (semanal)'!O42),'Entrada Prod (semanal)'!O42,"")</f>
        <v>0</v>
      </c>
      <c r="M50" s="348">
        <v>192.06</v>
      </c>
      <c r="N50" s="349">
        <v>203.94</v>
      </c>
      <c r="O50" s="350">
        <f t="shared" si="5"/>
        <v>11.879999999999995</v>
      </c>
      <c r="P50" s="351">
        <f t="shared" si="7"/>
        <v>0</v>
      </c>
      <c r="Q50" s="351">
        <f t="shared" si="8"/>
        <v>0</v>
      </c>
      <c r="U50" s="84"/>
      <c r="V50" s="84"/>
    </row>
    <row r="51" spans="1:22" x14ac:dyDescent="0.25">
      <c r="A51" s="275">
        <v>55</v>
      </c>
      <c r="B51" s="78">
        <f>'Salida Prod'!B51</f>
        <v>0</v>
      </c>
      <c r="C51" s="94">
        <f>IF('Entrada Prod (semanal)'!K43&gt;0,'Entrada Prod (semanal)'!K43,IF('Entrada Prod (semanal)'!L43&gt;0,'Entrada Prod (semanal)'!L43*7*B51/1000, ))</f>
        <v>0</v>
      </c>
      <c r="D51" s="81">
        <f>IF('Entrada Prod (semanal)'!L43&gt;0,'Entrada Prod (semanal)'!L43,IF('Entrada Prod (semanal)'!K43&gt;0,'Entrada Prod (semanal)'!K43*1000/7/B51, ))</f>
        <v>0</v>
      </c>
      <c r="E51" s="78">
        <f>IF(C51&gt;0,SUM(C$11:C51), )</f>
        <v>0</v>
      </c>
      <c r="F51" s="81">
        <f>IF('Entrada Prod (semanal)'!N43&gt;0,'Entrada Prod (semanal)'!N43,IF('Entrada Prod (semanal)'!M43&gt;0,'Entrada Prod (semanal)'!M43*1000/7/B51, ))</f>
        <v>0</v>
      </c>
      <c r="G51" s="99">
        <f t="shared" si="6"/>
        <v>0</v>
      </c>
      <c r="H51" s="153">
        <f>IF($J$7&gt;0,IF('Entrada Prod (semanal)'!I43&gt;0,C51/('Salida Prod'!X51*$J$7*('Salida Prod'!K51/100))*10, ), )</f>
        <v>0</v>
      </c>
      <c r="I51" s="154">
        <f>IF($J$7&gt;0,IF('Entrada Prod (semanal)'!I43&gt;0,E51/('Salida Prod'!H51*$J$7*('Salida Prod'!M51/100))*10, ), )</f>
        <v>0</v>
      </c>
      <c r="J51" s="81">
        <f>IF(ISNUMBER('Entrada Prod (semanal)'!J43),'Entrada Prod (semanal)'!J43/10,"")</f>
        <v>0</v>
      </c>
      <c r="K51" s="123">
        <v>198.4</v>
      </c>
      <c r="L51" s="176">
        <f>IF(ISNUMBER('Entrada Prod (semanal)'!O43),'Entrada Prod (semanal)'!O43,"")</f>
        <v>0</v>
      </c>
      <c r="M51" s="348">
        <v>192.44800000000001</v>
      </c>
      <c r="N51" s="349">
        <v>204.352</v>
      </c>
      <c r="O51" s="350">
        <f t="shared" si="5"/>
        <v>11.903999999999996</v>
      </c>
      <c r="P51" s="351">
        <f t="shared" si="7"/>
        <v>0</v>
      </c>
      <c r="Q51" s="351">
        <f t="shared" si="8"/>
        <v>0</v>
      </c>
      <c r="U51" s="84"/>
      <c r="V51" s="84"/>
    </row>
    <row r="52" spans="1:22" x14ac:dyDescent="0.25">
      <c r="A52" s="276">
        <v>56</v>
      </c>
      <c r="B52" s="68">
        <f>'Salida Prod'!B52</f>
        <v>0</v>
      </c>
      <c r="C52" s="95">
        <f>IF('Entrada Prod (semanal)'!K44&gt;0,'Entrada Prod (semanal)'!K44,IF('Entrada Prod (semanal)'!L44&gt;0,'Entrada Prod (semanal)'!L44*7*B52/1000, ))</f>
        <v>0</v>
      </c>
      <c r="D52" s="82">
        <f>IF('Entrada Prod (semanal)'!L44&gt;0,'Entrada Prod (semanal)'!L44,IF('Entrada Prod (semanal)'!K44&gt;0,'Entrada Prod (semanal)'!K44*1000/7/B52, ))</f>
        <v>0</v>
      </c>
      <c r="E52" s="68">
        <f>IF(C52&gt;0,SUM(C$11:C52), )</f>
        <v>0</v>
      </c>
      <c r="F52" s="82">
        <f>IF('Entrada Prod (semanal)'!N44&gt;0,'Entrada Prod (semanal)'!N44,IF('Entrada Prod (semanal)'!M44&gt;0,'Entrada Prod (semanal)'!M44*1000/7/B52, ))</f>
        <v>0</v>
      </c>
      <c r="G52" s="100">
        <f t="shared" si="6"/>
        <v>0</v>
      </c>
      <c r="H52" s="155">
        <f>IF($J$7&gt;0,IF('Entrada Prod (semanal)'!I44&gt;0,C52/('Salida Prod'!X52*$J$7*('Salida Prod'!K52/100))*10, ), )</f>
        <v>0</v>
      </c>
      <c r="I52" s="105">
        <f>IF($J$7&gt;0,IF('Entrada Prod (semanal)'!I44&gt;0,E52/('Salida Prod'!H52*$J$7*('Salida Prod'!M52/100))*10, ), )</f>
        <v>0</v>
      </c>
      <c r="J52" s="82">
        <f>IF(ISNUMBER('Entrada Prod (semanal)'!J44),'Entrada Prod (semanal)'!J44/10,"")</f>
        <v>0</v>
      </c>
      <c r="K52" s="124">
        <v>198.5</v>
      </c>
      <c r="L52" s="177">
        <f>IF(ISNUMBER('Entrada Prod (semanal)'!O44),'Entrada Prod (semanal)'!O44,"")</f>
        <v>0</v>
      </c>
      <c r="M52" s="348">
        <v>192.54500000000002</v>
      </c>
      <c r="N52" s="349">
        <v>204.45499999999998</v>
      </c>
      <c r="O52" s="350">
        <f t="shared" si="5"/>
        <v>11.909999999999968</v>
      </c>
      <c r="P52" s="351">
        <f t="shared" si="7"/>
        <v>0</v>
      </c>
      <c r="Q52" s="351">
        <f t="shared" si="8"/>
        <v>0</v>
      </c>
      <c r="U52" s="84"/>
      <c r="V52" s="84"/>
    </row>
    <row r="53" spans="1:22" x14ac:dyDescent="0.25">
      <c r="A53" s="275">
        <v>57</v>
      </c>
      <c r="B53" s="78">
        <f>'Salida Prod'!B53</f>
        <v>0</v>
      </c>
      <c r="C53" s="94">
        <f>IF('Entrada Prod (semanal)'!K45&gt;0,'Entrada Prod (semanal)'!K45,IF('Entrada Prod (semanal)'!L45&gt;0,'Entrada Prod (semanal)'!L45*7*B53/1000, ))</f>
        <v>0</v>
      </c>
      <c r="D53" s="81">
        <f>IF('Entrada Prod (semanal)'!L45&gt;0,'Entrada Prod (semanal)'!L45,IF('Entrada Prod (semanal)'!K45&gt;0,'Entrada Prod (semanal)'!K45*1000/7/B53, ))</f>
        <v>0</v>
      </c>
      <c r="E53" s="78">
        <f>IF(C53&gt;0,SUM(C$11:C53), )</f>
        <v>0</v>
      </c>
      <c r="F53" s="81">
        <f>IF('Entrada Prod (semanal)'!N45&gt;0,'Entrada Prod (semanal)'!N45,IF('Entrada Prod (semanal)'!M45&gt;0,'Entrada Prod (semanal)'!M45*1000/7/B53, ))</f>
        <v>0</v>
      </c>
      <c r="G53" s="99">
        <f t="shared" si="6"/>
        <v>0</v>
      </c>
      <c r="H53" s="153">
        <f>IF($J$7&gt;0,IF('Entrada Prod (semanal)'!I45&gt;0,C53/('Salida Prod'!X53*$J$7*('Salida Prod'!K53/100))*10, ), )</f>
        <v>0</v>
      </c>
      <c r="I53" s="154">
        <f>IF($J$7&gt;0,IF('Entrada Prod (semanal)'!I45&gt;0,E53/('Salida Prod'!H53*$J$7*('Salida Prod'!M53/100))*10, ), )</f>
        <v>0</v>
      </c>
      <c r="J53" s="81">
        <f>IF(ISNUMBER('Entrada Prod (semanal)'!J45),'Entrada Prod (semanal)'!J45/10,"")</f>
        <v>0</v>
      </c>
      <c r="K53" s="123">
        <v>198.9</v>
      </c>
      <c r="L53" s="176">
        <f>IF(ISNUMBER('Entrada Prod (semanal)'!O45),'Entrada Prod (semanal)'!O45,"")</f>
        <v>0</v>
      </c>
      <c r="M53" s="348">
        <v>192.93299999999999</v>
      </c>
      <c r="N53" s="349">
        <v>204.86700000000002</v>
      </c>
      <c r="O53" s="350">
        <f t="shared" si="5"/>
        <v>11.934000000000026</v>
      </c>
      <c r="P53" s="351">
        <f t="shared" si="7"/>
        <v>0</v>
      </c>
      <c r="Q53" s="351">
        <f t="shared" si="8"/>
        <v>0</v>
      </c>
      <c r="U53" s="84"/>
      <c r="V53" s="84"/>
    </row>
    <row r="54" spans="1:22" x14ac:dyDescent="0.25">
      <c r="A54" s="275">
        <v>58</v>
      </c>
      <c r="B54" s="78">
        <f>'Salida Prod'!B54</f>
        <v>0</v>
      </c>
      <c r="C54" s="94">
        <f>IF('Entrada Prod (semanal)'!K46&gt;0,'Entrada Prod (semanal)'!K46,IF('Entrada Prod (semanal)'!L46&gt;0,'Entrada Prod (semanal)'!L46*7*B54/1000, ))</f>
        <v>0</v>
      </c>
      <c r="D54" s="81">
        <f>IF('Entrada Prod (semanal)'!L46&gt;0,'Entrada Prod (semanal)'!L46,IF('Entrada Prod (semanal)'!K46&gt;0,'Entrada Prod (semanal)'!K46*1000/7/B54, ))</f>
        <v>0</v>
      </c>
      <c r="E54" s="78">
        <f>IF(C54&gt;0,SUM(C$11:C54), )</f>
        <v>0</v>
      </c>
      <c r="F54" s="81">
        <f>IF('Entrada Prod (semanal)'!N46&gt;0,'Entrada Prod (semanal)'!N46,IF('Entrada Prod (semanal)'!M46&gt;0,'Entrada Prod (semanal)'!M46*1000/7/B54, ))</f>
        <v>0</v>
      </c>
      <c r="G54" s="99">
        <f t="shared" si="6"/>
        <v>0</v>
      </c>
      <c r="H54" s="153">
        <f>IF($J$7&gt;0,IF('Entrada Prod (semanal)'!I46&gt;0,C54/('Salida Prod'!X54*$J$7*('Salida Prod'!K54/100))*10, ), )</f>
        <v>0</v>
      </c>
      <c r="I54" s="154">
        <f>IF($J$7&gt;0,IF('Entrada Prod (semanal)'!I46&gt;0,E54/('Salida Prod'!H54*$J$7*('Salida Prod'!M54/100))*10, ), )</f>
        <v>0</v>
      </c>
      <c r="J54" s="81">
        <f>IF(ISNUMBER('Entrada Prod (semanal)'!J46),'Entrada Prod (semanal)'!J46/10,"")</f>
        <v>0</v>
      </c>
      <c r="K54" s="123">
        <v>199.1</v>
      </c>
      <c r="L54" s="176">
        <f>IF(ISNUMBER('Entrada Prod (semanal)'!O46),'Entrada Prod (semanal)'!O46,"")</f>
        <v>0</v>
      </c>
      <c r="M54" s="348">
        <v>193.12700000000001</v>
      </c>
      <c r="N54" s="349">
        <v>205.07300000000001</v>
      </c>
      <c r="O54" s="350">
        <f t="shared" si="5"/>
        <v>11.945999999999998</v>
      </c>
      <c r="P54" s="351">
        <f t="shared" si="7"/>
        <v>0</v>
      </c>
      <c r="Q54" s="351">
        <f t="shared" si="8"/>
        <v>0</v>
      </c>
      <c r="U54" s="84"/>
      <c r="V54" s="84"/>
    </row>
    <row r="55" spans="1:22" x14ac:dyDescent="0.25">
      <c r="A55" s="275">
        <v>59</v>
      </c>
      <c r="B55" s="78">
        <f>'Salida Prod'!B55</f>
        <v>0</v>
      </c>
      <c r="C55" s="94">
        <f>IF('Entrada Prod (semanal)'!K47&gt;0,'Entrada Prod (semanal)'!K47,IF('Entrada Prod (semanal)'!L47&gt;0,'Entrada Prod (semanal)'!L47*7*B55/1000, ))</f>
        <v>0</v>
      </c>
      <c r="D55" s="81">
        <f>IF('Entrada Prod (semanal)'!L47&gt;0,'Entrada Prod (semanal)'!L47,IF('Entrada Prod (semanal)'!K47&gt;0,'Entrada Prod (semanal)'!K47*1000/7/B55, ))</f>
        <v>0</v>
      </c>
      <c r="E55" s="78">
        <f>IF(C55&gt;0,SUM(C$11:C55), )</f>
        <v>0</v>
      </c>
      <c r="F55" s="81">
        <f>IF('Entrada Prod (semanal)'!N47&gt;0,'Entrada Prod (semanal)'!N47,IF('Entrada Prod (semanal)'!M47&gt;0,'Entrada Prod (semanal)'!M47*1000/7/B55, ))</f>
        <v>0</v>
      </c>
      <c r="G55" s="99">
        <f t="shared" si="6"/>
        <v>0</v>
      </c>
      <c r="H55" s="153">
        <f>IF($J$7&gt;0,IF('Entrada Prod (semanal)'!I47&gt;0,C55/('Salida Prod'!X55*$J$7*('Salida Prod'!K55/100))*10, ), )</f>
        <v>0</v>
      </c>
      <c r="I55" s="154">
        <f>IF($J$7&gt;0,IF('Entrada Prod (semanal)'!I47&gt;0,E55/('Salida Prod'!H55*$J$7*('Salida Prod'!M55/100))*10, ), )</f>
        <v>0</v>
      </c>
      <c r="J55" s="81">
        <f>IF(ISNUMBER('Entrada Prod (semanal)'!J47),'Entrada Prod (semanal)'!J47/10,"")</f>
        <v>0</v>
      </c>
      <c r="K55" s="123">
        <v>199.3</v>
      </c>
      <c r="L55" s="176">
        <f>IF(ISNUMBER('Entrada Prod (semanal)'!O47),'Entrada Prod (semanal)'!O47,"")</f>
        <v>0</v>
      </c>
      <c r="M55" s="348">
        <v>193.321</v>
      </c>
      <c r="N55" s="349">
        <v>205.279</v>
      </c>
      <c r="O55" s="350">
        <f t="shared" si="5"/>
        <v>11.957999999999998</v>
      </c>
      <c r="P55" s="351">
        <f t="shared" si="7"/>
        <v>0</v>
      </c>
      <c r="Q55" s="351">
        <f t="shared" si="8"/>
        <v>0</v>
      </c>
      <c r="U55" s="84"/>
      <c r="V55" s="84"/>
    </row>
    <row r="56" spans="1:22" x14ac:dyDescent="0.25">
      <c r="A56" s="276">
        <v>60</v>
      </c>
      <c r="B56" s="68">
        <f>'Salida Prod'!B56</f>
        <v>0</v>
      </c>
      <c r="C56" s="95">
        <f>IF('Entrada Prod (semanal)'!K48&gt;0,'Entrada Prod (semanal)'!K48,IF('Entrada Prod (semanal)'!L48&gt;0,'Entrada Prod (semanal)'!L48*7*B56/1000, ))</f>
        <v>0</v>
      </c>
      <c r="D56" s="82">
        <f>IF('Entrada Prod (semanal)'!L48&gt;0,'Entrada Prod (semanal)'!L48,IF('Entrada Prod (semanal)'!K48&gt;0,'Entrada Prod (semanal)'!K48*1000/7/B56, ))</f>
        <v>0</v>
      </c>
      <c r="E56" s="68">
        <f>IF(C56&gt;0,SUM(C$11:C56), )</f>
        <v>0</v>
      </c>
      <c r="F56" s="82">
        <f>IF('Entrada Prod (semanal)'!N48&gt;0,'Entrada Prod (semanal)'!N48,IF('Entrada Prod (semanal)'!M48&gt;0,'Entrada Prod (semanal)'!M48*1000/7/B56, ))</f>
        <v>0</v>
      </c>
      <c r="G56" s="100">
        <f t="shared" si="6"/>
        <v>0</v>
      </c>
      <c r="H56" s="155">
        <f>IF($J$7&gt;0,IF('Entrada Prod (semanal)'!I48&gt;0,C56/('Salida Prod'!X56*$J$7*('Salida Prod'!K56/100))*10, ), )</f>
        <v>0</v>
      </c>
      <c r="I56" s="105">
        <f>IF($J$7&gt;0,IF('Entrada Prod (semanal)'!I48&gt;0,E56/('Salida Prod'!H56*$J$7*('Salida Prod'!M56/100))*10, ), )</f>
        <v>0</v>
      </c>
      <c r="J56" s="82">
        <f>IF(ISNUMBER('Entrada Prod (semanal)'!J48),'Entrada Prod (semanal)'!J48/10,"")</f>
        <v>0</v>
      </c>
      <c r="K56" s="124">
        <v>199.5</v>
      </c>
      <c r="L56" s="177">
        <f>IF(ISNUMBER('Entrada Prod (semanal)'!O48),'Entrada Prod (semanal)'!O48,"")</f>
        <v>0</v>
      </c>
      <c r="M56" s="348">
        <v>193.51500000000001</v>
      </c>
      <c r="N56" s="349">
        <v>205.48499999999999</v>
      </c>
      <c r="O56" s="350">
        <f t="shared" si="5"/>
        <v>11.96999999999997</v>
      </c>
      <c r="P56" s="351">
        <f t="shared" si="7"/>
        <v>0</v>
      </c>
      <c r="Q56" s="351">
        <f t="shared" si="8"/>
        <v>0</v>
      </c>
      <c r="U56" s="84"/>
      <c r="V56" s="84"/>
    </row>
    <row r="57" spans="1:22" x14ac:dyDescent="0.25">
      <c r="A57" s="275">
        <v>61</v>
      </c>
      <c r="B57" s="78">
        <f>'Salida Prod'!B57</f>
        <v>0</v>
      </c>
      <c r="C57" s="94">
        <f>IF('Entrada Prod (semanal)'!K49&gt;0,'Entrada Prod (semanal)'!K49,IF('Entrada Prod (semanal)'!L49&gt;0,'Entrada Prod (semanal)'!L49*7*B57/1000, ))</f>
        <v>0</v>
      </c>
      <c r="D57" s="81">
        <f>IF('Entrada Prod (semanal)'!L49&gt;0,'Entrada Prod (semanal)'!L49,IF('Entrada Prod (semanal)'!K49&gt;0,'Entrada Prod (semanal)'!K49*1000/7/B57, ))</f>
        <v>0</v>
      </c>
      <c r="E57" s="78">
        <f>IF(C57&gt;0,SUM(C$11:C57), )</f>
        <v>0</v>
      </c>
      <c r="F57" s="81">
        <f>IF('Entrada Prod (semanal)'!N49&gt;0,'Entrada Prod (semanal)'!N49,IF('Entrada Prod (semanal)'!M49&gt;0,'Entrada Prod (semanal)'!M49*1000/7/B57, ))</f>
        <v>0</v>
      </c>
      <c r="G57" s="99">
        <f t="shared" si="6"/>
        <v>0</v>
      </c>
      <c r="H57" s="153">
        <f>IF($J$7&gt;0,IF('Entrada Prod (semanal)'!I49&gt;0,C57/('Salida Prod'!X57*$J$7*('Salida Prod'!K57/100))*10, ), )</f>
        <v>0</v>
      </c>
      <c r="I57" s="154">
        <f>IF($J$7&gt;0,IF('Entrada Prod (semanal)'!I49&gt;0,E57/('Salida Prod'!H57*$J$7*('Salida Prod'!M57/100))*10, ), )</f>
        <v>0</v>
      </c>
      <c r="J57" s="81">
        <f>IF(ISNUMBER('Entrada Prod (semanal)'!J49),'Entrada Prod (semanal)'!J49/10,"")</f>
        <v>0</v>
      </c>
      <c r="K57" s="123">
        <v>199.8</v>
      </c>
      <c r="L57" s="176">
        <f>IF(ISNUMBER('Entrada Prod (semanal)'!O49),'Entrada Prod (semanal)'!O49,"")</f>
        <v>0</v>
      </c>
      <c r="M57" s="348">
        <v>193.80599999999998</v>
      </c>
      <c r="N57" s="349">
        <v>205.79400000000001</v>
      </c>
      <c r="O57" s="350">
        <f t="shared" si="5"/>
        <v>11.988000000000028</v>
      </c>
      <c r="P57" s="351">
        <f t="shared" si="7"/>
        <v>0</v>
      </c>
      <c r="Q57" s="351">
        <f t="shared" si="8"/>
        <v>0</v>
      </c>
      <c r="U57" s="84"/>
      <c r="V57" s="84"/>
    </row>
    <row r="58" spans="1:22" x14ac:dyDescent="0.25">
      <c r="A58" s="275">
        <v>62</v>
      </c>
      <c r="B58" s="78">
        <f>'Salida Prod'!B58</f>
        <v>0</v>
      </c>
      <c r="C58" s="94">
        <f>IF('Entrada Prod (semanal)'!K50&gt;0,'Entrada Prod (semanal)'!K50,IF('Entrada Prod (semanal)'!L50&gt;0,'Entrada Prod (semanal)'!L50*7*B58/1000, ))</f>
        <v>0</v>
      </c>
      <c r="D58" s="81">
        <f>IF('Entrada Prod (semanal)'!L50&gt;0,'Entrada Prod (semanal)'!L50,IF('Entrada Prod (semanal)'!K50&gt;0,'Entrada Prod (semanal)'!K50*1000/7/B58, ))</f>
        <v>0</v>
      </c>
      <c r="E58" s="78">
        <f>IF(C58&gt;0,SUM(C$11:C58), )</f>
        <v>0</v>
      </c>
      <c r="F58" s="81">
        <f>IF('Entrada Prod (semanal)'!N50&gt;0,'Entrada Prod (semanal)'!N50,IF('Entrada Prod (semanal)'!M50&gt;0,'Entrada Prod (semanal)'!M50*1000/7/B58, ))</f>
        <v>0</v>
      </c>
      <c r="G58" s="99">
        <f t="shared" si="6"/>
        <v>0</v>
      </c>
      <c r="H58" s="153">
        <f>IF($J$7&gt;0,IF('Entrada Prod (semanal)'!I50&gt;0,C58/('Salida Prod'!X58*$J$7*('Salida Prod'!K58/100))*10, ), )</f>
        <v>0</v>
      </c>
      <c r="I58" s="154">
        <f>IF($J$7&gt;0,IF('Entrada Prod (semanal)'!I50&gt;0,E58/('Salida Prod'!H58*$J$7*('Salida Prod'!M58/100))*10, ), )</f>
        <v>0</v>
      </c>
      <c r="J58" s="81">
        <f>IF(ISNUMBER('Entrada Prod (semanal)'!J50),'Entrada Prod (semanal)'!J50/10,"")</f>
        <v>0</v>
      </c>
      <c r="K58" s="123">
        <v>200</v>
      </c>
      <c r="L58" s="176">
        <f>IF(ISNUMBER('Entrada Prod (semanal)'!O50),'Entrada Prod (semanal)'!O50,"")</f>
        <v>0</v>
      </c>
      <c r="M58" s="348">
        <v>194</v>
      </c>
      <c r="N58" s="349">
        <v>206</v>
      </c>
      <c r="O58" s="350">
        <f t="shared" si="5"/>
        <v>12</v>
      </c>
      <c r="P58" s="351">
        <f t="shared" si="7"/>
        <v>0</v>
      </c>
      <c r="Q58" s="351">
        <f t="shared" si="8"/>
        <v>0</v>
      </c>
      <c r="U58" s="84"/>
      <c r="V58" s="84"/>
    </row>
    <row r="59" spans="1:22" x14ac:dyDescent="0.25">
      <c r="A59" s="275">
        <v>63</v>
      </c>
      <c r="B59" s="78">
        <f>'Salida Prod'!B59</f>
        <v>0</v>
      </c>
      <c r="C59" s="94">
        <f>IF('Entrada Prod (semanal)'!K51&gt;0,'Entrada Prod (semanal)'!K51,IF('Entrada Prod (semanal)'!L51&gt;0,'Entrada Prod (semanal)'!L51*7*B59/1000, ))</f>
        <v>0</v>
      </c>
      <c r="D59" s="81">
        <f>IF('Entrada Prod (semanal)'!L51&gt;0,'Entrada Prod (semanal)'!L51,IF('Entrada Prod (semanal)'!K51&gt;0,'Entrada Prod (semanal)'!K51*1000/7/B59, ))</f>
        <v>0</v>
      </c>
      <c r="E59" s="78">
        <f>IF(C59&gt;0,SUM(C$11:C59), )</f>
        <v>0</v>
      </c>
      <c r="F59" s="81">
        <f>IF('Entrada Prod (semanal)'!N51&gt;0,'Entrada Prod (semanal)'!N51,IF('Entrada Prod (semanal)'!M51&gt;0,'Entrada Prod (semanal)'!M51*1000/7/B59, ))</f>
        <v>0</v>
      </c>
      <c r="G59" s="99">
        <f t="shared" si="6"/>
        <v>0</v>
      </c>
      <c r="H59" s="153">
        <f>IF($J$7&gt;0,IF('Entrada Prod (semanal)'!I51&gt;0,C59/('Salida Prod'!X59*$J$7*('Salida Prod'!K59/100))*10, ), )</f>
        <v>0</v>
      </c>
      <c r="I59" s="154">
        <f>IF($J$7&gt;0,IF('Entrada Prod (semanal)'!I51&gt;0,E59/('Salida Prod'!H59*$J$7*('Salida Prod'!M59/100))*10, ), )</f>
        <v>0</v>
      </c>
      <c r="J59" s="81">
        <f>IF(ISNUMBER('Entrada Prod (semanal)'!J51),'Entrada Prod (semanal)'!J51/10,"")</f>
        <v>0</v>
      </c>
      <c r="K59" s="123">
        <v>200.3</v>
      </c>
      <c r="L59" s="176">
        <f>IF(ISNUMBER('Entrada Prod (semanal)'!O51),'Entrada Prod (semanal)'!O51,"")</f>
        <v>0</v>
      </c>
      <c r="M59" s="348">
        <v>194.291</v>
      </c>
      <c r="N59" s="349">
        <v>206.30900000000003</v>
      </c>
      <c r="O59" s="350">
        <f t="shared" si="5"/>
        <v>12.018000000000029</v>
      </c>
      <c r="P59" s="351">
        <f t="shared" si="7"/>
        <v>0</v>
      </c>
      <c r="Q59" s="351">
        <f t="shared" si="8"/>
        <v>0</v>
      </c>
      <c r="U59" s="84"/>
      <c r="V59" s="84"/>
    </row>
    <row r="60" spans="1:22" x14ac:dyDescent="0.25">
      <c r="A60" s="276">
        <v>64</v>
      </c>
      <c r="B60" s="68">
        <f>'Salida Prod'!B60</f>
        <v>0</v>
      </c>
      <c r="C60" s="95">
        <f>IF('Entrada Prod (semanal)'!K52&gt;0,'Entrada Prod (semanal)'!K52,IF('Entrada Prod (semanal)'!L52&gt;0,'Entrada Prod (semanal)'!L52*7*B60/1000, ))</f>
        <v>0</v>
      </c>
      <c r="D60" s="82">
        <f>IF('Entrada Prod (semanal)'!L52&gt;0,'Entrada Prod (semanal)'!L52,IF('Entrada Prod (semanal)'!K52&gt;0,'Entrada Prod (semanal)'!K52*1000/7/B60, ))</f>
        <v>0</v>
      </c>
      <c r="E60" s="68">
        <f>IF(C60&gt;0,SUM(C$11:C60), )</f>
        <v>0</v>
      </c>
      <c r="F60" s="82">
        <f>IF('Entrada Prod (semanal)'!N52&gt;0,'Entrada Prod (semanal)'!N52,IF('Entrada Prod (semanal)'!M52&gt;0,'Entrada Prod (semanal)'!M52*1000/7/B60, ))</f>
        <v>0</v>
      </c>
      <c r="G60" s="100">
        <f t="shared" ref="G60:G75" si="9">IF(D60&gt;0,IF(F60&gt;0,F60/D60, ), )</f>
        <v>0</v>
      </c>
      <c r="H60" s="155">
        <f>IF($J$7&gt;0,IF('Entrada Prod (semanal)'!I52&gt;0,C60/('Salida Prod'!X60*$J$7*('Salida Prod'!K60/100))*10, ), )</f>
        <v>0</v>
      </c>
      <c r="I60" s="105">
        <f>IF($J$7&gt;0,IF('Entrada Prod (semanal)'!I52&gt;0,E60/('Salida Prod'!H60*$J$7*('Salida Prod'!M60/100))*10, ), )</f>
        <v>0</v>
      </c>
      <c r="J60" s="82">
        <f>IF(ISNUMBER('Entrada Prod (semanal)'!J52),'Entrada Prod (semanal)'!J52/10,"")</f>
        <v>0</v>
      </c>
      <c r="K60" s="124">
        <v>200.5</v>
      </c>
      <c r="L60" s="177">
        <f>IF(ISNUMBER('Entrada Prod (semanal)'!O52),'Entrada Prod (semanal)'!O52,"")</f>
        <v>0</v>
      </c>
      <c r="M60" s="348">
        <v>194.48499999999999</v>
      </c>
      <c r="N60" s="349">
        <v>206.51500000000001</v>
      </c>
      <c r="O60" s="350">
        <f t="shared" si="5"/>
        <v>12.03000000000003</v>
      </c>
      <c r="P60" s="351">
        <f t="shared" si="7"/>
        <v>0</v>
      </c>
      <c r="Q60" s="351">
        <f t="shared" si="8"/>
        <v>0</v>
      </c>
      <c r="U60" s="84"/>
      <c r="V60" s="84"/>
    </row>
    <row r="61" spans="1:22" x14ac:dyDescent="0.25">
      <c r="A61" s="275">
        <v>65</v>
      </c>
      <c r="B61" s="78">
        <f>'Salida Prod'!B61</f>
        <v>0</v>
      </c>
      <c r="C61" s="94">
        <f>IF('Entrada Prod (semanal)'!K53&gt;0,'Entrada Prod (semanal)'!K53,IF('Entrada Prod (semanal)'!L53&gt;0,'Entrada Prod (semanal)'!L53*7*B61/1000, ))</f>
        <v>0</v>
      </c>
      <c r="D61" s="81">
        <f>IF('Entrada Prod (semanal)'!L53&gt;0,'Entrada Prod (semanal)'!L53,IF('Entrada Prod (semanal)'!K53&gt;0,'Entrada Prod (semanal)'!K53*1000/7/B61, ))</f>
        <v>0</v>
      </c>
      <c r="E61" s="78">
        <f>IF(C61&gt;0,SUM(C$11:C61), )</f>
        <v>0</v>
      </c>
      <c r="F61" s="81">
        <f>IF('Entrada Prod (semanal)'!N53&gt;0,'Entrada Prod (semanal)'!N53,IF('Entrada Prod (semanal)'!M53&gt;0,'Entrada Prod (semanal)'!M53*1000/7/B61, ))</f>
        <v>0</v>
      </c>
      <c r="G61" s="99">
        <f t="shared" si="9"/>
        <v>0</v>
      </c>
      <c r="H61" s="153">
        <f>IF($J$7&gt;0,IF('Entrada Prod (semanal)'!I53&gt;0,C61/('Salida Prod'!X61*$J$7*('Salida Prod'!K61/100))*10, ), )</f>
        <v>0</v>
      </c>
      <c r="I61" s="154">
        <f>IF($J$7&gt;0,IF('Entrada Prod (semanal)'!I53&gt;0,E61/('Salida Prod'!H61*$J$7*('Salida Prod'!M61/100))*10, ), )</f>
        <v>0</v>
      </c>
      <c r="J61" s="81">
        <f>IF(ISNUMBER('Entrada Prod (semanal)'!J53),'Entrada Prod (semanal)'!J53/10,"")</f>
        <v>0</v>
      </c>
      <c r="K61" s="123">
        <v>200.8</v>
      </c>
      <c r="L61" s="176">
        <f>IF(ISNUMBER('Entrada Prod (semanal)'!O53),'Entrada Prod (semanal)'!O53,"")</f>
        <v>0</v>
      </c>
      <c r="M61" s="348">
        <v>194.77600000000001</v>
      </c>
      <c r="N61" s="349">
        <v>206.82399999999998</v>
      </c>
      <c r="O61" s="350">
        <f t="shared" si="5"/>
        <v>12.047999999999973</v>
      </c>
      <c r="P61" s="351">
        <f t="shared" si="7"/>
        <v>0</v>
      </c>
      <c r="Q61" s="351">
        <f t="shared" si="8"/>
        <v>0</v>
      </c>
      <c r="U61" s="84"/>
      <c r="V61" s="84"/>
    </row>
    <row r="62" spans="1:22" x14ac:dyDescent="0.25">
      <c r="A62" s="275">
        <v>66</v>
      </c>
      <c r="B62" s="78">
        <f>'Salida Prod'!B62</f>
        <v>0</v>
      </c>
      <c r="C62" s="94">
        <f>IF('Entrada Prod (semanal)'!K54&gt;0,'Entrada Prod (semanal)'!K54,IF('Entrada Prod (semanal)'!L54&gt;0,'Entrada Prod (semanal)'!L54*7*B62/1000, ))</f>
        <v>0</v>
      </c>
      <c r="D62" s="81">
        <f>IF('Entrada Prod (semanal)'!L54&gt;0,'Entrada Prod (semanal)'!L54,IF('Entrada Prod (semanal)'!K54&gt;0,'Entrada Prod (semanal)'!K54*1000/7/B62, ))</f>
        <v>0</v>
      </c>
      <c r="E62" s="78">
        <f>IF(C62&gt;0,SUM(C$11:C62), )</f>
        <v>0</v>
      </c>
      <c r="F62" s="81">
        <f>IF('Entrada Prod (semanal)'!N54&gt;0,'Entrada Prod (semanal)'!N54,IF('Entrada Prod (semanal)'!M54&gt;0,'Entrada Prod (semanal)'!M54*1000/7/B62, ))</f>
        <v>0</v>
      </c>
      <c r="G62" s="99">
        <f t="shared" si="9"/>
        <v>0</v>
      </c>
      <c r="H62" s="153">
        <f>IF($J$7&gt;0,IF('Entrada Prod (semanal)'!I54&gt;0,C62/('Salida Prod'!X62*$J$7*('Salida Prod'!K62/100))*10, ), )</f>
        <v>0</v>
      </c>
      <c r="I62" s="154">
        <f>IF($J$7&gt;0,IF('Entrada Prod (semanal)'!I54&gt;0,E62/('Salida Prod'!H62*$J$7*('Salida Prod'!M62/100))*10, ), )</f>
        <v>0</v>
      </c>
      <c r="J62" s="81">
        <f>IF(ISNUMBER('Entrada Prod (semanal)'!J54),'Entrada Prod (semanal)'!J54/10,"")</f>
        <v>0</v>
      </c>
      <c r="K62" s="123">
        <v>201.1</v>
      </c>
      <c r="L62" s="176">
        <f>IF(ISNUMBER('Entrada Prod (semanal)'!O54),'Entrada Prod (semanal)'!O54,"")</f>
        <v>0</v>
      </c>
      <c r="M62" s="348">
        <v>195.06700000000001</v>
      </c>
      <c r="N62" s="349">
        <v>207.13299999999998</v>
      </c>
      <c r="O62" s="350">
        <f t="shared" si="5"/>
        <v>12.065999999999974</v>
      </c>
      <c r="P62" s="351">
        <f t="shared" si="7"/>
        <v>0</v>
      </c>
      <c r="Q62" s="351">
        <f t="shared" si="8"/>
        <v>0</v>
      </c>
      <c r="U62" s="84"/>
      <c r="V62" s="84"/>
    </row>
    <row r="63" spans="1:22" x14ac:dyDescent="0.25">
      <c r="A63" s="275">
        <v>67</v>
      </c>
      <c r="B63" s="78">
        <f>'Salida Prod'!B63</f>
        <v>0</v>
      </c>
      <c r="C63" s="94">
        <f>IF('Entrada Prod (semanal)'!K55&gt;0,'Entrada Prod (semanal)'!K55,IF('Entrada Prod (semanal)'!L55&gt;0,'Entrada Prod (semanal)'!L55*7*B63/1000, ))</f>
        <v>0</v>
      </c>
      <c r="D63" s="81">
        <f>IF('Entrada Prod (semanal)'!L55&gt;0,'Entrada Prod (semanal)'!L55,IF('Entrada Prod (semanal)'!K55&gt;0,'Entrada Prod (semanal)'!K55*1000/7/B63, ))</f>
        <v>0</v>
      </c>
      <c r="E63" s="78">
        <f>IF(C63&gt;0,SUM(C$11:C63), )</f>
        <v>0</v>
      </c>
      <c r="F63" s="81">
        <f>IF('Entrada Prod (semanal)'!N55&gt;0,'Entrada Prod (semanal)'!N55,IF('Entrada Prod (semanal)'!M55&gt;0,'Entrada Prod (semanal)'!M55*1000/7/B63, ))</f>
        <v>0</v>
      </c>
      <c r="G63" s="99">
        <f t="shared" si="9"/>
        <v>0</v>
      </c>
      <c r="H63" s="153">
        <f>IF($J$7&gt;0,IF('Entrada Prod (semanal)'!I55&gt;0,C63/('Salida Prod'!X63*$J$7*('Salida Prod'!K63/100))*10, ), )</f>
        <v>0</v>
      </c>
      <c r="I63" s="154">
        <f>IF($J$7&gt;0,IF('Entrada Prod (semanal)'!I55&gt;0,E63/('Salida Prod'!H63*$J$7*('Salida Prod'!M63/100))*10, ), )</f>
        <v>0</v>
      </c>
      <c r="J63" s="81">
        <f>IF(ISNUMBER('Entrada Prod (semanal)'!J55),'Entrada Prod (semanal)'!J55/10,"")</f>
        <v>0</v>
      </c>
      <c r="K63" s="123">
        <v>201.3</v>
      </c>
      <c r="L63" s="176">
        <f>IF(ISNUMBER('Entrada Prod (semanal)'!O55),'Entrada Prod (semanal)'!O55,"")</f>
        <v>0</v>
      </c>
      <c r="M63" s="348">
        <v>195.261</v>
      </c>
      <c r="N63" s="349">
        <v>207.339</v>
      </c>
      <c r="O63" s="350">
        <f t="shared" si="5"/>
        <v>12.078000000000003</v>
      </c>
      <c r="P63" s="351">
        <f t="shared" si="7"/>
        <v>0</v>
      </c>
      <c r="Q63" s="351">
        <f t="shared" si="8"/>
        <v>0</v>
      </c>
      <c r="U63" s="84"/>
      <c r="V63" s="84"/>
    </row>
    <row r="64" spans="1:22" x14ac:dyDescent="0.25">
      <c r="A64" s="276">
        <v>68</v>
      </c>
      <c r="B64" s="68">
        <f>'Salida Prod'!B64</f>
        <v>0</v>
      </c>
      <c r="C64" s="95">
        <f>IF('Entrada Prod (semanal)'!K56&gt;0,'Entrada Prod (semanal)'!K56,IF('Entrada Prod (semanal)'!L56&gt;0,'Entrada Prod (semanal)'!L56*7*B64/1000, ))</f>
        <v>0</v>
      </c>
      <c r="D64" s="82">
        <f>IF('Entrada Prod (semanal)'!L56&gt;0,'Entrada Prod (semanal)'!L56,IF('Entrada Prod (semanal)'!K56&gt;0,'Entrada Prod (semanal)'!K56*1000/7/B64, ))</f>
        <v>0</v>
      </c>
      <c r="E64" s="68">
        <f>IF(C64&gt;0,SUM(C$11:C64), )</f>
        <v>0</v>
      </c>
      <c r="F64" s="82">
        <f>IF('Entrada Prod (semanal)'!N56&gt;0,'Entrada Prod (semanal)'!N56,IF('Entrada Prod (semanal)'!M56&gt;0,'Entrada Prod (semanal)'!M56*1000/7/B64, ))</f>
        <v>0</v>
      </c>
      <c r="G64" s="100">
        <f t="shared" si="9"/>
        <v>0</v>
      </c>
      <c r="H64" s="155">
        <f>IF($J$7&gt;0,IF('Entrada Prod (semanal)'!I56&gt;0,C64/('Salida Prod'!X64*$J$7*('Salida Prod'!K64/100))*10, ), )</f>
        <v>0</v>
      </c>
      <c r="I64" s="105">
        <f>IF($J$7&gt;0,IF('Entrada Prod (semanal)'!I56&gt;0,E64/('Salida Prod'!H64*$J$7*('Salida Prod'!M64/100))*10, ), )</f>
        <v>0</v>
      </c>
      <c r="J64" s="82">
        <f>IF(ISNUMBER('Entrada Prod (semanal)'!J56),'Entrada Prod (semanal)'!J56/10,"")</f>
        <v>0</v>
      </c>
      <c r="K64" s="124">
        <v>201.5</v>
      </c>
      <c r="L64" s="177">
        <f>IF(ISNUMBER('Entrada Prod (semanal)'!O56),'Entrada Prod (semanal)'!O56,"")</f>
        <v>0</v>
      </c>
      <c r="M64" s="348">
        <v>195.45499999999998</v>
      </c>
      <c r="N64" s="349">
        <v>207.54499999999999</v>
      </c>
      <c r="O64" s="350">
        <f t="shared" si="5"/>
        <v>12.090000000000003</v>
      </c>
      <c r="P64" s="351">
        <f t="shared" si="7"/>
        <v>0</v>
      </c>
      <c r="Q64" s="351">
        <f t="shared" si="8"/>
        <v>0</v>
      </c>
      <c r="U64" s="84"/>
      <c r="V64" s="84"/>
    </row>
    <row r="65" spans="1:22" x14ac:dyDescent="0.25">
      <c r="A65" s="275">
        <v>69</v>
      </c>
      <c r="B65" s="78">
        <f>'Salida Prod'!B65</f>
        <v>0</v>
      </c>
      <c r="C65" s="94">
        <f>IF('Entrada Prod (semanal)'!K57&gt;0,'Entrada Prod (semanal)'!K57,IF('Entrada Prod (semanal)'!L57&gt;0,'Entrada Prod (semanal)'!L57*7*B65/1000, ))</f>
        <v>0</v>
      </c>
      <c r="D65" s="81">
        <f>IF('Entrada Prod (semanal)'!L57&gt;0,'Entrada Prod (semanal)'!L57,IF('Entrada Prod (semanal)'!K57&gt;0,'Entrada Prod (semanal)'!K57*1000/7/B65, ))</f>
        <v>0</v>
      </c>
      <c r="E65" s="78">
        <f>IF(C65&gt;0,SUM(C$11:C65), )</f>
        <v>0</v>
      </c>
      <c r="F65" s="81">
        <f>IF('Entrada Prod (semanal)'!N57&gt;0,'Entrada Prod (semanal)'!N57,IF('Entrada Prod (semanal)'!M57&gt;0,'Entrada Prod (semanal)'!M57*1000/7/B65, ))</f>
        <v>0</v>
      </c>
      <c r="G65" s="99">
        <f t="shared" si="9"/>
        <v>0</v>
      </c>
      <c r="H65" s="153">
        <f>IF($J$7&gt;0,IF('Entrada Prod (semanal)'!I57&gt;0,C65/('Salida Prod'!X65*$J$7*('Salida Prod'!K65/100))*10, ), )</f>
        <v>0</v>
      </c>
      <c r="I65" s="154">
        <f>IF($J$7&gt;0,IF('Entrada Prod (semanal)'!I57&gt;0,E65/('Salida Prod'!H65*$J$7*('Salida Prod'!M65/100))*10, ), )</f>
        <v>0</v>
      </c>
      <c r="J65" s="81">
        <f>IF(ISNUMBER('Entrada Prod (semanal)'!J57),'Entrada Prod (semanal)'!J57/10,"")</f>
        <v>0</v>
      </c>
      <c r="K65" s="123">
        <v>201.8</v>
      </c>
      <c r="L65" s="176">
        <f>IF(ISNUMBER('Entrada Prod (semanal)'!O57),'Entrada Prod (semanal)'!O57,"")</f>
        <v>0</v>
      </c>
      <c r="M65" s="348">
        <v>195.74600000000001</v>
      </c>
      <c r="N65" s="349">
        <v>207.85399999999998</v>
      </c>
      <c r="O65" s="350">
        <f t="shared" si="5"/>
        <v>12.107999999999976</v>
      </c>
      <c r="P65" s="351">
        <f t="shared" si="7"/>
        <v>0</v>
      </c>
      <c r="Q65" s="351">
        <f t="shared" si="8"/>
        <v>0</v>
      </c>
      <c r="U65" s="84"/>
      <c r="V65" s="84"/>
    </row>
    <row r="66" spans="1:22" x14ac:dyDescent="0.25">
      <c r="A66" s="275">
        <v>70</v>
      </c>
      <c r="B66" s="78">
        <f>'Salida Prod'!B66</f>
        <v>0</v>
      </c>
      <c r="C66" s="94">
        <f>IF('Entrada Prod (semanal)'!K58&gt;0,'Entrada Prod (semanal)'!K58,IF('Entrada Prod (semanal)'!L58&gt;0,'Entrada Prod (semanal)'!L58*7*B66/1000, ))</f>
        <v>0</v>
      </c>
      <c r="D66" s="81">
        <f>IF('Entrada Prod (semanal)'!L58&gt;0,'Entrada Prod (semanal)'!L58,IF('Entrada Prod (semanal)'!K58&gt;0,'Entrada Prod (semanal)'!K58*1000/7/B66, ))</f>
        <v>0</v>
      </c>
      <c r="E66" s="78">
        <f>IF(C66&gt;0,SUM(C$11:C66), )</f>
        <v>0</v>
      </c>
      <c r="F66" s="81">
        <f>IF('Entrada Prod (semanal)'!N58&gt;0,'Entrada Prod (semanal)'!N58,IF('Entrada Prod (semanal)'!M58&gt;0,'Entrada Prod (semanal)'!M58*1000/7/B66, ))</f>
        <v>0</v>
      </c>
      <c r="G66" s="99">
        <f t="shared" si="9"/>
        <v>0</v>
      </c>
      <c r="H66" s="153">
        <f>IF($J$7&gt;0,IF('Entrada Prod (semanal)'!I58&gt;0,C66/('Salida Prod'!X66*$J$7*('Salida Prod'!K66/100))*10, ), )</f>
        <v>0</v>
      </c>
      <c r="I66" s="154">
        <f>IF($J$7&gt;0,IF('Entrada Prod (semanal)'!I58&gt;0,E66/('Salida Prod'!H66*$J$7*('Salida Prod'!M66/100))*10, ), )</f>
        <v>0</v>
      </c>
      <c r="J66" s="81">
        <f>IF(ISNUMBER('Entrada Prod (semanal)'!J58),'Entrada Prod (semanal)'!J58/10,"")</f>
        <v>0</v>
      </c>
      <c r="K66" s="123">
        <v>202</v>
      </c>
      <c r="L66" s="176">
        <f>IF(ISNUMBER('Entrada Prod (semanal)'!O58),'Entrada Prod (semanal)'!O58,"")</f>
        <v>0</v>
      </c>
      <c r="M66" s="348">
        <v>195.94</v>
      </c>
      <c r="N66" s="349">
        <v>208.06</v>
      </c>
      <c r="O66" s="350">
        <f t="shared" si="5"/>
        <v>12.120000000000005</v>
      </c>
      <c r="P66" s="351">
        <f t="shared" si="7"/>
        <v>0</v>
      </c>
      <c r="Q66" s="351">
        <f t="shared" si="8"/>
        <v>0</v>
      </c>
      <c r="U66" s="84"/>
      <c r="V66" s="84"/>
    </row>
    <row r="67" spans="1:22" x14ac:dyDescent="0.25">
      <c r="A67" s="275">
        <v>71</v>
      </c>
      <c r="B67" s="78">
        <f>'Salida Prod'!B67</f>
        <v>0</v>
      </c>
      <c r="C67" s="94">
        <f>IF('Entrada Prod (semanal)'!K59&gt;0,'Entrada Prod (semanal)'!K59,IF('Entrada Prod (semanal)'!L59&gt;0,'Entrada Prod (semanal)'!L59*7*B67/1000, ))</f>
        <v>0</v>
      </c>
      <c r="D67" s="81">
        <f>IF('Entrada Prod (semanal)'!L59&gt;0,'Entrada Prod (semanal)'!L59,IF('Entrada Prod (semanal)'!K59&gt;0,'Entrada Prod (semanal)'!K59*1000/7/B67, ))</f>
        <v>0</v>
      </c>
      <c r="E67" s="78">
        <f>IF(C67&gt;0,SUM(C$11:C67), )</f>
        <v>0</v>
      </c>
      <c r="F67" s="81">
        <f>IF('Entrada Prod (semanal)'!N59&gt;0,'Entrada Prod (semanal)'!N59,IF('Entrada Prod (semanal)'!M59&gt;0,'Entrada Prod (semanal)'!M59*1000/7/B67, ))</f>
        <v>0</v>
      </c>
      <c r="G67" s="99">
        <f t="shared" si="9"/>
        <v>0</v>
      </c>
      <c r="H67" s="153">
        <f>IF($J$7&gt;0,IF('Entrada Prod (semanal)'!I59&gt;0,C67/('Salida Prod'!X67*$J$7*('Salida Prod'!K67/100))*10, ), )</f>
        <v>0</v>
      </c>
      <c r="I67" s="154">
        <f>IF($J$7&gt;0,IF('Entrada Prod (semanal)'!I59&gt;0,E67/('Salida Prod'!H67*$J$7*('Salida Prod'!M67/100))*10, ), )</f>
        <v>0</v>
      </c>
      <c r="J67" s="81">
        <f>IF(ISNUMBER('Entrada Prod (semanal)'!J59),'Entrada Prod (semanal)'!J59/10,"")</f>
        <v>0</v>
      </c>
      <c r="K67" s="123">
        <v>202.3</v>
      </c>
      <c r="L67" s="176">
        <f>IF(ISNUMBER('Entrada Prod (semanal)'!O59),'Entrada Prod (semanal)'!O59,"")</f>
        <v>0</v>
      </c>
      <c r="M67" s="348">
        <v>196.23099999999999</v>
      </c>
      <c r="N67" s="349">
        <v>208.369</v>
      </c>
      <c r="O67" s="350">
        <f t="shared" si="5"/>
        <v>12.138000000000005</v>
      </c>
      <c r="P67" s="351">
        <f t="shared" si="7"/>
        <v>0</v>
      </c>
      <c r="Q67" s="351">
        <f t="shared" si="8"/>
        <v>0</v>
      </c>
      <c r="U67" s="84"/>
      <c r="V67" s="84"/>
    </row>
    <row r="68" spans="1:22" x14ac:dyDescent="0.25">
      <c r="A68" s="276">
        <v>72</v>
      </c>
      <c r="B68" s="68">
        <f>'Salida Prod'!B68</f>
        <v>0</v>
      </c>
      <c r="C68" s="95">
        <f>IF('Entrada Prod (semanal)'!K60&gt;0,'Entrada Prod (semanal)'!K60,IF('Entrada Prod (semanal)'!L60&gt;0,'Entrada Prod (semanal)'!L60*7*B68/1000, ))</f>
        <v>0</v>
      </c>
      <c r="D68" s="82">
        <f>IF('Entrada Prod (semanal)'!L60&gt;0,'Entrada Prod (semanal)'!L60,IF('Entrada Prod (semanal)'!K60&gt;0,'Entrada Prod (semanal)'!K60*1000/7/B68, ))</f>
        <v>0</v>
      </c>
      <c r="E68" s="68">
        <f>IF(C68&gt;0,SUM(C$11:C68), )</f>
        <v>0</v>
      </c>
      <c r="F68" s="82">
        <f>IF('Entrada Prod (semanal)'!N60&gt;0,'Entrada Prod (semanal)'!N60,IF('Entrada Prod (semanal)'!M60&gt;0,'Entrada Prod (semanal)'!M60*1000/7/B68, ))</f>
        <v>0</v>
      </c>
      <c r="G68" s="100">
        <f t="shared" si="9"/>
        <v>0</v>
      </c>
      <c r="H68" s="155">
        <f>IF($J$7&gt;0,IF('Entrada Prod (semanal)'!I60&gt;0,C68/('Salida Prod'!X68*$J$7*('Salida Prod'!K68/100))*10, ), )</f>
        <v>0</v>
      </c>
      <c r="I68" s="105">
        <f>IF($J$7&gt;0,IF('Entrada Prod (semanal)'!I60&gt;0,E68/('Salida Prod'!H68*$J$7*('Salida Prod'!M68/100))*10, ), )</f>
        <v>0</v>
      </c>
      <c r="J68" s="82">
        <f>IF(ISNUMBER('Entrada Prod (semanal)'!J60),'Entrada Prod (semanal)'!J60/10,"")</f>
        <v>0</v>
      </c>
      <c r="K68" s="124">
        <v>202.5</v>
      </c>
      <c r="L68" s="177">
        <f>IF(ISNUMBER('Entrada Prod (semanal)'!O60),'Entrada Prod (semanal)'!O60,"")</f>
        <v>0</v>
      </c>
      <c r="M68" s="348">
        <v>196.42500000000001</v>
      </c>
      <c r="N68" s="349">
        <v>208.57499999999999</v>
      </c>
      <c r="O68" s="350">
        <f t="shared" si="5"/>
        <v>12.149999999999977</v>
      </c>
      <c r="P68" s="351">
        <f t="shared" si="7"/>
        <v>0</v>
      </c>
      <c r="Q68" s="351">
        <f t="shared" si="8"/>
        <v>0</v>
      </c>
      <c r="U68" s="84"/>
      <c r="V68" s="84"/>
    </row>
    <row r="69" spans="1:22" x14ac:dyDescent="0.25">
      <c r="A69" s="275">
        <v>73</v>
      </c>
      <c r="B69" s="78">
        <f>'Salida Prod'!B69</f>
        <v>0</v>
      </c>
      <c r="C69" s="94">
        <f>IF('Entrada Prod (semanal)'!K61&gt;0,'Entrada Prod (semanal)'!K61,IF('Entrada Prod (semanal)'!L61&gt;0,'Entrada Prod (semanal)'!L61*7*B69/1000, ))</f>
        <v>0</v>
      </c>
      <c r="D69" s="81">
        <f>IF('Entrada Prod (semanal)'!L61&gt;0,'Entrada Prod (semanal)'!L61,IF('Entrada Prod (semanal)'!K61&gt;0,'Entrada Prod (semanal)'!K61*1000/7/B69, ))</f>
        <v>0</v>
      </c>
      <c r="E69" s="78">
        <f>IF(C69&gt;0,SUM(C$11:C69), )</f>
        <v>0</v>
      </c>
      <c r="F69" s="81">
        <f>IF('Entrada Prod (semanal)'!N61&gt;0,'Entrada Prod (semanal)'!N61,IF('Entrada Prod (semanal)'!M61&gt;0,'Entrada Prod (semanal)'!M61*1000/7/B69, ))</f>
        <v>0</v>
      </c>
      <c r="G69" s="99">
        <f t="shared" si="9"/>
        <v>0</v>
      </c>
      <c r="H69" s="153">
        <f>IF($J$7&gt;0,IF('Entrada Prod (semanal)'!I61&gt;0,C69/('Salida Prod'!X69*$J$7*('Salida Prod'!K69/100))*10, ), )</f>
        <v>0</v>
      </c>
      <c r="I69" s="154">
        <f>IF($J$7&gt;0,IF('Entrada Prod (semanal)'!I61&gt;0,E69/('Salida Prod'!H69*$J$7*('Salida Prod'!M69/100))*10, ), )</f>
        <v>0</v>
      </c>
      <c r="J69" s="81">
        <f>IF(ISNUMBER('Entrada Prod (semanal)'!J61),'Entrada Prod (semanal)'!J61/10,"")</f>
        <v>0</v>
      </c>
      <c r="K69" s="123">
        <v>202.8</v>
      </c>
      <c r="L69" s="176">
        <f>IF(ISNUMBER('Entrada Prod (semanal)'!O61),'Entrada Prod (semanal)'!O61,"")</f>
        <v>0</v>
      </c>
      <c r="M69" s="348">
        <v>196.71600000000001</v>
      </c>
      <c r="N69" s="349">
        <v>208.88400000000001</v>
      </c>
      <c r="O69" s="350">
        <f t="shared" si="5"/>
        <v>12.168000000000006</v>
      </c>
      <c r="P69" s="351">
        <f t="shared" si="7"/>
        <v>0</v>
      </c>
      <c r="Q69" s="351">
        <f t="shared" si="8"/>
        <v>0</v>
      </c>
      <c r="U69" s="84"/>
      <c r="V69" s="84"/>
    </row>
    <row r="70" spans="1:22" x14ac:dyDescent="0.25">
      <c r="A70" s="275">
        <v>74</v>
      </c>
      <c r="B70" s="78">
        <f>'Salida Prod'!B70</f>
        <v>0</v>
      </c>
      <c r="C70" s="94">
        <f>IF('Entrada Prod (semanal)'!K62&gt;0,'Entrada Prod (semanal)'!K62,IF('Entrada Prod (semanal)'!L62&gt;0,'Entrada Prod (semanal)'!L62*7*B70/1000, ))</f>
        <v>0</v>
      </c>
      <c r="D70" s="81">
        <f>IF('Entrada Prod (semanal)'!L62&gt;0,'Entrada Prod (semanal)'!L62,IF('Entrada Prod (semanal)'!K62&gt;0,'Entrada Prod (semanal)'!K62*1000/7/B70, ))</f>
        <v>0</v>
      </c>
      <c r="E70" s="78">
        <f>IF(C70&gt;0,SUM(C$11:C70), )</f>
        <v>0</v>
      </c>
      <c r="F70" s="81">
        <f>IF('Entrada Prod (semanal)'!N62&gt;0,'Entrada Prod (semanal)'!N62,IF('Entrada Prod (semanal)'!M62&gt;0,'Entrada Prod (semanal)'!M62*1000/7/B70, ))</f>
        <v>0</v>
      </c>
      <c r="G70" s="99">
        <f t="shared" si="9"/>
        <v>0</v>
      </c>
      <c r="H70" s="153">
        <f>IF($J$7&gt;0,IF('Entrada Prod (semanal)'!I62&gt;0,C70/('Salida Prod'!X70*$J$7*('Salida Prod'!K70/100))*10, ), )</f>
        <v>0</v>
      </c>
      <c r="I70" s="154">
        <f>IF($J$7&gt;0,IF('Entrada Prod (semanal)'!I62&gt;0,E70/('Salida Prod'!H70*$J$7*('Salida Prod'!M70/100))*10, ), )</f>
        <v>0</v>
      </c>
      <c r="J70" s="81">
        <f>IF(ISNUMBER('Entrada Prod (semanal)'!J62),'Entrada Prod (semanal)'!J62/10,"")</f>
        <v>0</v>
      </c>
      <c r="K70" s="123">
        <v>203.1</v>
      </c>
      <c r="L70" s="176">
        <f>IF(ISNUMBER('Entrada Prod (semanal)'!O62),'Entrada Prod (semanal)'!O62,"")</f>
        <v>0</v>
      </c>
      <c r="M70" s="348">
        <v>197.00700000000001</v>
      </c>
      <c r="N70" s="349">
        <v>209.19299999999998</v>
      </c>
      <c r="O70" s="350">
        <f t="shared" si="5"/>
        <v>12.185999999999979</v>
      </c>
      <c r="P70" s="351">
        <f t="shared" si="7"/>
        <v>0</v>
      </c>
      <c r="Q70" s="351">
        <f t="shared" si="8"/>
        <v>0</v>
      </c>
      <c r="U70" s="84"/>
      <c r="V70" s="84"/>
    </row>
    <row r="71" spans="1:22" x14ac:dyDescent="0.25">
      <c r="A71" s="275">
        <v>75</v>
      </c>
      <c r="B71" s="78">
        <f>'Salida Prod'!B71</f>
        <v>0</v>
      </c>
      <c r="C71" s="94">
        <f>IF('Entrada Prod (semanal)'!K63&gt;0,'Entrada Prod (semanal)'!K63,IF('Entrada Prod (semanal)'!L63&gt;0,'Entrada Prod (semanal)'!L63*7*B71/1000, ))</f>
        <v>0</v>
      </c>
      <c r="D71" s="81">
        <f>IF('Entrada Prod (semanal)'!L63&gt;0,'Entrada Prod (semanal)'!L63,IF('Entrada Prod (semanal)'!K63&gt;0,'Entrada Prod (semanal)'!K63*1000/7/B71, ))</f>
        <v>0</v>
      </c>
      <c r="E71" s="78">
        <f>IF(C71&gt;0,SUM(C$11:C71), )</f>
        <v>0</v>
      </c>
      <c r="F71" s="81">
        <f>IF('Entrada Prod (semanal)'!N63&gt;0,'Entrada Prod (semanal)'!N63,IF('Entrada Prod (semanal)'!M63&gt;0,'Entrada Prod (semanal)'!M63*1000/7/B71, ))</f>
        <v>0</v>
      </c>
      <c r="G71" s="99">
        <f t="shared" si="9"/>
        <v>0</v>
      </c>
      <c r="H71" s="153">
        <f>IF($J$7&gt;0,IF('Entrada Prod (semanal)'!I63&gt;0,C71/('Salida Prod'!X71*$J$7*('Salida Prod'!K71/100))*10, ), )</f>
        <v>0</v>
      </c>
      <c r="I71" s="154">
        <f>IF($J$7&gt;0,IF('Entrada Prod (semanal)'!I63&gt;0,E71/('Salida Prod'!H71*$J$7*('Salida Prod'!M71/100))*10, ), )</f>
        <v>0</v>
      </c>
      <c r="J71" s="81">
        <f>IF(ISNUMBER('Entrada Prod (semanal)'!J63),'Entrada Prod (semanal)'!J63/10,"")</f>
        <v>0</v>
      </c>
      <c r="K71" s="123">
        <v>203.3</v>
      </c>
      <c r="L71" s="176">
        <f>IF(ISNUMBER('Entrada Prod (semanal)'!O63),'Entrada Prod (semanal)'!O63,"")</f>
        <v>0</v>
      </c>
      <c r="M71" s="348">
        <v>197.20099999999999</v>
      </c>
      <c r="N71" s="349">
        <v>209.39899999999997</v>
      </c>
      <c r="O71" s="350">
        <f t="shared" si="5"/>
        <v>12.197999999999979</v>
      </c>
      <c r="P71" s="351">
        <f t="shared" si="7"/>
        <v>0</v>
      </c>
      <c r="Q71" s="351">
        <f t="shared" si="8"/>
        <v>0</v>
      </c>
      <c r="U71" s="84"/>
      <c r="V71" s="84"/>
    </row>
    <row r="72" spans="1:22" x14ac:dyDescent="0.25">
      <c r="A72" s="276">
        <v>76</v>
      </c>
      <c r="B72" s="68">
        <f>'Salida Prod'!B72</f>
        <v>0</v>
      </c>
      <c r="C72" s="95">
        <f>IF('Entrada Prod (semanal)'!K64&gt;0,'Entrada Prod (semanal)'!K64,IF('Entrada Prod (semanal)'!L64&gt;0,'Entrada Prod (semanal)'!L64*7*B72/1000, ))</f>
        <v>0</v>
      </c>
      <c r="D72" s="82">
        <f>IF('Entrada Prod (semanal)'!L64&gt;0,'Entrada Prod (semanal)'!L64,IF('Entrada Prod (semanal)'!K64&gt;0,'Entrada Prod (semanal)'!K64*1000/7/B72, ))</f>
        <v>0</v>
      </c>
      <c r="E72" s="68">
        <f>IF(C72&gt;0,SUM(C$11:C72), )</f>
        <v>0</v>
      </c>
      <c r="F72" s="82">
        <f>IF('Entrada Prod (semanal)'!N64&gt;0,'Entrada Prod (semanal)'!N64,IF('Entrada Prod (semanal)'!M64&gt;0,'Entrada Prod (semanal)'!M64*1000/7/B72, ))</f>
        <v>0</v>
      </c>
      <c r="G72" s="100">
        <f t="shared" si="9"/>
        <v>0</v>
      </c>
      <c r="H72" s="155">
        <f>IF($J$7&gt;0,IF('Entrada Prod (semanal)'!I64&gt;0,C72/('Salida Prod'!X72*$J$7*('Salida Prod'!K72/100))*10, ), )</f>
        <v>0</v>
      </c>
      <c r="I72" s="105">
        <f>IF($J$7&gt;0,IF('Entrada Prod (semanal)'!I64&gt;0,E72/('Salida Prod'!H72*$J$7*('Salida Prod'!M72/100))*10, ), )</f>
        <v>0</v>
      </c>
      <c r="J72" s="82">
        <f>IF(ISNUMBER('Entrada Prod (semanal)'!J64),'Entrada Prod (semanal)'!J64/10,"")</f>
        <v>0</v>
      </c>
      <c r="K72" s="124">
        <v>203.5</v>
      </c>
      <c r="L72" s="177">
        <f>IF(ISNUMBER('Entrada Prod (semanal)'!O64),'Entrada Prod (semanal)'!O64,"")</f>
        <v>0</v>
      </c>
      <c r="M72" s="348">
        <v>197.39500000000001</v>
      </c>
      <c r="N72" s="349">
        <v>209.60500000000002</v>
      </c>
      <c r="O72" s="350">
        <f t="shared" si="5"/>
        <v>12.210000000000008</v>
      </c>
      <c r="P72" s="351">
        <f t="shared" si="7"/>
        <v>0</v>
      </c>
      <c r="Q72" s="351">
        <f t="shared" si="8"/>
        <v>0</v>
      </c>
      <c r="U72" s="84"/>
      <c r="V72" s="84"/>
    </row>
    <row r="73" spans="1:22" x14ac:dyDescent="0.25">
      <c r="A73" s="275">
        <v>77</v>
      </c>
      <c r="B73" s="78">
        <f>'Salida Prod'!B73</f>
        <v>0</v>
      </c>
      <c r="C73" s="94">
        <f>IF('Entrada Prod (semanal)'!K65&gt;0,'Entrada Prod (semanal)'!K65,IF('Entrada Prod (semanal)'!L65&gt;0,'Entrada Prod (semanal)'!L65*7*B73/1000, ))</f>
        <v>0</v>
      </c>
      <c r="D73" s="81">
        <f>IF('Entrada Prod (semanal)'!L65&gt;0,'Entrada Prod (semanal)'!L65,IF('Entrada Prod (semanal)'!K65&gt;0,'Entrada Prod (semanal)'!K65*1000/7/B73, ))</f>
        <v>0</v>
      </c>
      <c r="E73" s="78">
        <f>IF(C73&gt;0,SUM(C$11:C73), )</f>
        <v>0</v>
      </c>
      <c r="F73" s="81">
        <f>IF('Entrada Prod (semanal)'!N65&gt;0,'Entrada Prod (semanal)'!N65,IF('Entrada Prod (semanal)'!M65&gt;0,'Entrada Prod (semanal)'!M65*1000/7/B73, ))</f>
        <v>0</v>
      </c>
      <c r="G73" s="99">
        <f t="shared" si="9"/>
        <v>0</v>
      </c>
      <c r="H73" s="153">
        <f>IF($J$7&gt;0,IF('Entrada Prod (semanal)'!I65&gt;0,C73/('Salida Prod'!X73*$J$7*('Salida Prod'!K73/100))*10, ), )</f>
        <v>0</v>
      </c>
      <c r="I73" s="154">
        <f>IF($J$7&gt;0,IF('Entrada Prod (semanal)'!I65&gt;0,E73/('Salida Prod'!H73*$J$7*('Salida Prod'!M73/100))*10, ), )</f>
        <v>0</v>
      </c>
      <c r="J73" s="81">
        <f>IF(ISNUMBER('Entrada Prod (semanal)'!J65),'Entrada Prod (semanal)'!J65/10,"")</f>
        <v>0</v>
      </c>
      <c r="K73" s="123">
        <v>203.8</v>
      </c>
      <c r="L73" s="176">
        <f>IF(ISNUMBER('Entrada Prod (semanal)'!O65),'Entrada Prod (semanal)'!O65,"")</f>
        <v>0</v>
      </c>
      <c r="M73" s="348">
        <v>197.68599999999998</v>
      </c>
      <c r="N73" s="349">
        <v>209.91399999999999</v>
      </c>
      <c r="O73" s="350">
        <f t="shared" si="5"/>
        <v>12.228000000000009</v>
      </c>
      <c r="P73" s="351">
        <f t="shared" si="7"/>
        <v>0</v>
      </c>
      <c r="Q73" s="351">
        <f t="shared" si="8"/>
        <v>0</v>
      </c>
      <c r="U73" s="84"/>
      <c r="V73" s="84"/>
    </row>
    <row r="74" spans="1:22" x14ac:dyDescent="0.25">
      <c r="A74" s="275">
        <v>78</v>
      </c>
      <c r="B74" s="78">
        <f>'Salida Prod'!B74</f>
        <v>0</v>
      </c>
      <c r="C74" s="94">
        <f>IF('Entrada Prod (semanal)'!K66&gt;0,'Entrada Prod (semanal)'!K66,IF('Entrada Prod (semanal)'!L66&gt;0,'Entrada Prod (semanal)'!L66*7*B74/1000, ))</f>
        <v>0</v>
      </c>
      <c r="D74" s="81">
        <f>IF('Entrada Prod (semanal)'!L66&gt;0,'Entrada Prod (semanal)'!L66,IF('Entrada Prod (semanal)'!K66&gt;0,'Entrada Prod (semanal)'!K66*1000/7/B74, ))</f>
        <v>0</v>
      </c>
      <c r="E74" s="78">
        <f>IF(C74&gt;0,SUM(C$11:C74), )</f>
        <v>0</v>
      </c>
      <c r="F74" s="81">
        <f>IF('Entrada Prod (semanal)'!N66&gt;0,'Entrada Prod (semanal)'!N66,IF('Entrada Prod (semanal)'!M66&gt;0,'Entrada Prod (semanal)'!M66*1000/7/B74, ))</f>
        <v>0</v>
      </c>
      <c r="G74" s="99">
        <f t="shared" si="9"/>
        <v>0</v>
      </c>
      <c r="H74" s="153">
        <f>IF($J$7&gt;0,IF('Entrada Prod (semanal)'!I66&gt;0,C74/('Salida Prod'!X74*$J$7*('Salida Prod'!K74/100))*10, ), )</f>
        <v>0</v>
      </c>
      <c r="I74" s="154">
        <f>IF($J$7&gt;0,IF('Entrada Prod (semanal)'!I66&gt;0,E74/('Salida Prod'!H74*$J$7*('Salida Prod'!M74/100))*10, ), )</f>
        <v>0</v>
      </c>
      <c r="J74" s="81">
        <f>IF(ISNUMBER('Entrada Prod (semanal)'!J66),'Entrada Prod (semanal)'!J66/10,"")</f>
        <v>0</v>
      </c>
      <c r="K74" s="123">
        <v>204</v>
      </c>
      <c r="L74" s="176">
        <f>IF(ISNUMBER('Entrada Prod (semanal)'!O66),'Entrada Prod (semanal)'!O66,"")</f>
        <v>0</v>
      </c>
      <c r="M74" s="348">
        <v>197.88</v>
      </c>
      <c r="N74" s="349">
        <v>210.11999999999998</v>
      </c>
      <c r="O74" s="350">
        <f t="shared" si="5"/>
        <v>12.239999999999981</v>
      </c>
      <c r="P74" s="351">
        <f t="shared" si="7"/>
        <v>0</v>
      </c>
      <c r="Q74" s="351">
        <f t="shared" si="8"/>
        <v>0</v>
      </c>
      <c r="U74" s="84"/>
      <c r="V74" s="84"/>
    </row>
    <row r="75" spans="1:22" x14ac:dyDescent="0.25">
      <c r="A75" s="275">
        <v>79</v>
      </c>
      <c r="B75" s="78">
        <f>'Salida Prod'!B75</f>
        <v>0</v>
      </c>
      <c r="C75" s="94">
        <f>IF('Entrada Prod (semanal)'!K67&gt;0,'Entrada Prod (semanal)'!K67,IF('Entrada Prod (semanal)'!L67&gt;0,'Entrada Prod (semanal)'!L67*7*B75/1000, ))</f>
        <v>0</v>
      </c>
      <c r="D75" s="81">
        <f>IF('Entrada Prod (semanal)'!L67&gt;0,'Entrada Prod (semanal)'!L67,IF('Entrada Prod (semanal)'!K67&gt;0,'Entrada Prod (semanal)'!K67*1000/7/B75, ))</f>
        <v>0</v>
      </c>
      <c r="E75" s="78">
        <f>IF(C75&gt;0,SUM(C$11:C75), )</f>
        <v>0</v>
      </c>
      <c r="F75" s="81">
        <f>IF('Entrada Prod (semanal)'!N67&gt;0,'Entrada Prod (semanal)'!N67,IF('Entrada Prod (semanal)'!M67&gt;0,'Entrada Prod (semanal)'!M67*1000/7/B75, ))</f>
        <v>0</v>
      </c>
      <c r="G75" s="99">
        <f t="shared" si="9"/>
        <v>0</v>
      </c>
      <c r="H75" s="153">
        <f>IF($J$7&gt;0,IF('Entrada Prod (semanal)'!I67&gt;0,C75/('Salida Prod'!X75*$J$7*('Salida Prod'!K75/100))*10, ), )</f>
        <v>0</v>
      </c>
      <c r="I75" s="154">
        <f>IF($J$7&gt;0,IF('Entrada Prod (semanal)'!I67&gt;0,E75/('Salida Prod'!H75*$J$7*('Salida Prod'!M75/100))*10, ), )</f>
        <v>0</v>
      </c>
      <c r="J75" s="81">
        <f>IF(ISNUMBER('Entrada Prod (semanal)'!J67),'Entrada Prod (semanal)'!J67/10,"")</f>
        <v>0</v>
      </c>
      <c r="K75" s="123">
        <v>204.3</v>
      </c>
      <c r="L75" s="176">
        <f>IF(ISNUMBER('Entrada Prod (semanal)'!O67),'Entrada Prod (semanal)'!O67,"")</f>
        <v>0</v>
      </c>
      <c r="M75" s="348">
        <v>198.17099999999999</v>
      </c>
      <c r="N75" s="349">
        <v>210.429</v>
      </c>
      <c r="O75" s="350">
        <f t="shared" ref="O75:O106" si="10">N75-M75</f>
        <v>12.25800000000001</v>
      </c>
      <c r="P75" s="351">
        <f t="shared" si="7"/>
        <v>0</v>
      </c>
      <c r="Q75" s="351">
        <f t="shared" si="8"/>
        <v>0</v>
      </c>
      <c r="U75" s="84"/>
      <c r="V75" s="84"/>
    </row>
    <row r="76" spans="1:22" x14ac:dyDescent="0.25">
      <c r="A76" s="276">
        <v>80</v>
      </c>
      <c r="B76" s="68">
        <f>'Salida Prod'!B76</f>
        <v>0</v>
      </c>
      <c r="C76" s="95">
        <f>IF('Entrada Prod (semanal)'!K68&gt;0,'Entrada Prod (semanal)'!K68,IF('Entrada Prod (semanal)'!L68&gt;0,'Entrada Prod (semanal)'!L68*7*B76/1000, ))</f>
        <v>0</v>
      </c>
      <c r="D76" s="82">
        <f>IF('Entrada Prod (semanal)'!L68&gt;0,'Entrada Prod (semanal)'!L68,IF('Entrada Prod (semanal)'!K68&gt;0,'Entrada Prod (semanal)'!K68*1000/7/B76, ))</f>
        <v>0</v>
      </c>
      <c r="E76" s="68">
        <f>IF(C76&gt;0,SUM(C$11:C76), )</f>
        <v>0</v>
      </c>
      <c r="F76" s="82">
        <f>IF('Entrada Prod (semanal)'!N68&gt;0,'Entrada Prod (semanal)'!N68,IF('Entrada Prod (semanal)'!M68&gt;0,'Entrada Prod (semanal)'!M68*1000/7/B76, ))</f>
        <v>0</v>
      </c>
      <c r="G76" s="100">
        <f t="shared" ref="G76:G91" si="11">IF(D76&gt;0,IF(F76&gt;0,F76/D76, ), )</f>
        <v>0</v>
      </c>
      <c r="H76" s="155">
        <f>IF($J$7&gt;0,IF('Entrada Prod (semanal)'!I68&gt;0,C76/('Salida Prod'!X76*$J$7*('Salida Prod'!K76/100))*10, ), )</f>
        <v>0</v>
      </c>
      <c r="I76" s="105">
        <f>IF($J$7&gt;0,IF('Entrada Prod (semanal)'!I68&gt;0,E76/('Salida Prod'!H76*$J$7*('Salida Prod'!M76/100))*10, ), )</f>
        <v>0</v>
      </c>
      <c r="J76" s="82">
        <f>IF(ISNUMBER('Entrada Prod (semanal)'!J68),'Entrada Prod (semanal)'!J68/10,"")</f>
        <v>0</v>
      </c>
      <c r="K76" s="124">
        <v>204.5</v>
      </c>
      <c r="L76" s="177">
        <f>IF(ISNUMBER('Entrada Prod (semanal)'!O68),'Entrada Prod (semanal)'!O68,"")</f>
        <v>0</v>
      </c>
      <c r="M76" s="348">
        <v>198.36500000000001</v>
      </c>
      <c r="N76" s="349">
        <v>210.63499999999999</v>
      </c>
      <c r="O76" s="350">
        <f t="shared" si="10"/>
        <v>12.269999999999982</v>
      </c>
      <c r="P76" s="351">
        <f t="shared" ref="P76:P107" si="12">IF(H76&gt;0,H76,P75)</f>
        <v>0</v>
      </c>
      <c r="Q76" s="351">
        <f t="shared" ref="Q76:Q107" si="13">IF(I76&gt;0,I76,Q75)</f>
        <v>0</v>
      </c>
      <c r="U76" s="84"/>
      <c r="V76" s="84"/>
    </row>
    <row r="77" spans="1:22" x14ac:dyDescent="0.25">
      <c r="A77" s="275">
        <v>81</v>
      </c>
      <c r="B77" s="71">
        <f>'Salida Prod'!B77</f>
        <v>0</v>
      </c>
      <c r="C77" s="66">
        <f>IF('Entrada Prod (semanal)'!K69&gt;0,'Entrada Prod (semanal)'!K69,IF('Entrada Prod (semanal)'!L69&gt;0,'Entrada Prod (semanal)'!L69*7*B77/1000, ))</f>
        <v>0</v>
      </c>
      <c r="D77" s="151">
        <f>IF('Entrada Prod (semanal)'!L69&gt;0,'Entrada Prod (semanal)'!L69,IF('Entrada Prod (semanal)'!K69&gt;0,'Entrada Prod (semanal)'!K69*1000/7/B77, ))</f>
        <v>0</v>
      </c>
      <c r="E77" s="78">
        <f>IF(C77&gt;0,SUM(C$11:C77), )</f>
        <v>0</v>
      </c>
      <c r="F77" s="81">
        <f>IF('Entrada Prod (semanal)'!N69&gt;0,'Entrada Prod (semanal)'!N69,IF('Entrada Prod (semanal)'!M69&gt;0,'Entrada Prod (semanal)'!M69*1000/7/B77, ))</f>
        <v>0</v>
      </c>
      <c r="G77" s="99">
        <f t="shared" si="11"/>
        <v>0</v>
      </c>
      <c r="H77" s="153">
        <f>IF($J$7&gt;0,IF('Entrada Prod (semanal)'!I69&gt;0,C77/('Salida Prod'!X77*$J$7*('Salida Prod'!K77/100))*10, ), )</f>
        <v>0</v>
      </c>
      <c r="I77" s="154">
        <f>IF($J$7&gt;0,IF('Entrada Prod (semanal)'!I69&gt;0,E77/('Salida Prod'!H77*$J$7*('Salida Prod'!M77/100))*10, ), )</f>
        <v>0</v>
      </c>
      <c r="J77" s="81">
        <f>IF(ISNUMBER('Entrada Prod (semanal)'!J69),'Entrada Prod (semanal)'!J69/10,"")</f>
        <v>0</v>
      </c>
      <c r="K77" s="370">
        <v>204.6</v>
      </c>
      <c r="L77" s="176">
        <f>IF(ISNUMBER('Entrada Prod (semanal)'!O69),'Entrada Prod (semanal)'!O69,"")</f>
        <v>0</v>
      </c>
      <c r="M77" s="348">
        <v>198.46199999999999</v>
      </c>
      <c r="N77" s="349">
        <v>210.738</v>
      </c>
      <c r="O77" s="350">
        <f t="shared" si="10"/>
        <v>12.27600000000001</v>
      </c>
      <c r="P77" s="351">
        <f t="shared" si="12"/>
        <v>0</v>
      </c>
      <c r="Q77" s="351">
        <f t="shared" si="13"/>
        <v>0</v>
      </c>
      <c r="U77" s="84"/>
      <c r="V77" s="84"/>
    </row>
    <row r="78" spans="1:22" x14ac:dyDescent="0.25">
      <c r="A78" s="275">
        <v>82</v>
      </c>
      <c r="B78" s="71">
        <f>'Salida Prod'!B78</f>
        <v>0</v>
      </c>
      <c r="C78" s="66">
        <f>IF('Entrada Prod (semanal)'!K70&gt;0,'Entrada Prod (semanal)'!K70,IF('Entrada Prod (semanal)'!L70&gt;0,'Entrada Prod (semanal)'!L70*7*B78/1000, ))</f>
        <v>0</v>
      </c>
      <c r="D78" s="151">
        <f>IF('Entrada Prod (semanal)'!L70&gt;0,'Entrada Prod (semanal)'!L70,IF('Entrada Prod (semanal)'!K70&gt;0,'Entrada Prod (semanal)'!K70*1000/7/B78, ))</f>
        <v>0</v>
      </c>
      <c r="E78" s="78">
        <f>IF(C78&gt;0,SUM(C$11:C78), )</f>
        <v>0</v>
      </c>
      <c r="F78" s="81">
        <f>IF('Entrada Prod (semanal)'!N70&gt;0,'Entrada Prod (semanal)'!N70,IF('Entrada Prod (semanal)'!M70&gt;0,'Entrada Prod (semanal)'!M70*1000/7/B78, ))</f>
        <v>0</v>
      </c>
      <c r="G78" s="99">
        <f t="shared" si="11"/>
        <v>0</v>
      </c>
      <c r="H78" s="153">
        <f>IF($J$7&gt;0,IF('Entrada Prod (semanal)'!I70&gt;0,C78/('Salida Prod'!X78*$J$7*('Salida Prod'!K78/100))*10, ), )</f>
        <v>0</v>
      </c>
      <c r="I78" s="154">
        <f>IF($J$7&gt;0,IF('Entrada Prod (semanal)'!I70&gt;0,E78/('Salida Prod'!H78*$J$7*('Salida Prod'!M78/100))*10, ), )</f>
        <v>0</v>
      </c>
      <c r="J78" s="81">
        <f>IF(ISNUMBER('Entrada Prod (semanal)'!J70),'Entrada Prod (semanal)'!J70/10,"")</f>
        <v>0</v>
      </c>
      <c r="K78" s="370">
        <v>204.7</v>
      </c>
      <c r="L78" s="176">
        <f>IF(ISNUMBER('Entrada Prod (semanal)'!O70),'Entrada Prod (semanal)'!O70,"")</f>
        <v>0</v>
      </c>
      <c r="M78" s="348">
        <v>198.559</v>
      </c>
      <c r="N78" s="349">
        <v>210.84099999999998</v>
      </c>
      <c r="O78" s="350">
        <f t="shared" si="10"/>
        <v>12.281999999999982</v>
      </c>
      <c r="P78" s="351">
        <f t="shared" si="12"/>
        <v>0</v>
      </c>
      <c r="Q78" s="351">
        <f t="shared" si="13"/>
        <v>0</v>
      </c>
      <c r="U78" s="84"/>
      <c r="V78" s="84"/>
    </row>
    <row r="79" spans="1:22" x14ac:dyDescent="0.25">
      <c r="A79" s="275">
        <v>83</v>
      </c>
      <c r="B79" s="71">
        <f>'Salida Prod'!B79</f>
        <v>0</v>
      </c>
      <c r="C79" s="66">
        <f>IF('Entrada Prod (semanal)'!K71&gt;0,'Entrada Prod (semanal)'!K71,IF('Entrada Prod (semanal)'!L71&gt;0,'Entrada Prod (semanal)'!L71*7*B79/1000, ))</f>
        <v>0</v>
      </c>
      <c r="D79" s="151">
        <f>IF('Entrada Prod (semanal)'!L71&gt;0,'Entrada Prod (semanal)'!L71,IF('Entrada Prod (semanal)'!K71&gt;0,'Entrada Prod (semanal)'!K71*1000/7/B79, ))</f>
        <v>0</v>
      </c>
      <c r="E79" s="78">
        <f>IF(C79&gt;0,SUM(C$11:C79), )</f>
        <v>0</v>
      </c>
      <c r="F79" s="81">
        <f>IF('Entrada Prod (semanal)'!N71&gt;0,'Entrada Prod (semanal)'!N71,IF('Entrada Prod (semanal)'!M71&gt;0,'Entrada Prod (semanal)'!M71*1000/7/B79, ))</f>
        <v>0</v>
      </c>
      <c r="G79" s="99">
        <f t="shared" si="11"/>
        <v>0</v>
      </c>
      <c r="H79" s="153">
        <f>IF($J$7&gt;0,IF('Entrada Prod (semanal)'!I71&gt;0,C79/('Salida Prod'!X79*$J$7*('Salida Prod'!K79/100))*10, ), )</f>
        <v>0</v>
      </c>
      <c r="I79" s="154">
        <f>IF($J$7&gt;0,IF('Entrada Prod (semanal)'!I71&gt;0,E79/('Salida Prod'!H79*$J$7*('Salida Prod'!M79/100))*10, ), )</f>
        <v>0</v>
      </c>
      <c r="J79" s="81">
        <f>IF(ISNUMBER('Entrada Prod (semanal)'!J71),'Entrada Prod (semanal)'!J71/10,"")</f>
        <v>0</v>
      </c>
      <c r="K79" s="370">
        <v>204.8</v>
      </c>
      <c r="L79" s="176">
        <f>IF(ISNUMBER('Entrada Prod (semanal)'!O71),'Entrada Prod (semanal)'!O71,"")</f>
        <v>0</v>
      </c>
      <c r="M79" s="348">
        <v>198.65600000000001</v>
      </c>
      <c r="N79" s="349">
        <v>210.94400000000002</v>
      </c>
      <c r="O79" s="350">
        <f t="shared" si="10"/>
        <v>12.288000000000011</v>
      </c>
      <c r="P79" s="351">
        <f t="shared" si="12"/>
        <v>0</v>
      </c>
      <c r="Q79" s="351">
        <f t="shared" si="13"/>
        <v>0</v>
      </c>
      <c r="U79" s="84"/>
      <c r="V79" s="84"/>
    </row>
    <row r="80" spans="1:22" x14ac:dyDescent="0.25">
      <c r="A80" s="276">
        <v>84</v>
      </c>
      <c r="B80" s="69">
        <f>'Salida Prod'!B80</f>
        <v>0</v>
      </c>
      <c r="C80" s="97">
        <f>IF('Entrada Prod (semanal)'!K72&gt;0,'Entrada Prod (semanal)'!K72,IF('Entrada Prod (semanal)'!L72&gt;0,'Entrada Prod (semanal)'!L72*7*B80/1000, ))</f>
        <v>0</v>
      </c>
      <c r="D80" s="112">
        <f>IF('Entrada Prod (semanal)'!L72&gt;0,'Entrada Prod (semanal)'!L72,IF('Entrada Prod (semanal)'!K72&gt;0,'Entrada Prod (semanal)'!K72*1000/7/B80, ))</f>
        <v>0</v>
      </c>
      <c r="E80" s="68">
        <f>IF(C80&gt;0,SUM(C$11:C80), )</f>
        <v>0</v>
      </c>
      <c r="F80" s="82">
        <f>IF('Entrada Prod (semanal)'!N72&gt;0,'Entrada Prod (semanal)'!N72,IF('Entrada Prod (semanal)'!M72&gt;0,'Entrada Prod (semanal)'!M72*1000/7/B80, ))</f>
        <v>0</v>
      </c>
      <c r="G80" s="100">
        <f t="shared" si="11"/>
        <v>0</v>
      </c>
      <c r="H80" s="155">
        <f>IF($J$7&gt;0,IF('Entrada Prod (semanal)'!I72&gt;0,C80/('Salida Prod'!X80*$J$7*('Salida Prod'!K80/100))*10, ), )</f>
        <v>0</v>
      </c>
      <c r="I80" s="105">
        <f>IF($J$7&gt;0,IF('Entrada Prod (semanal)'!I72&gt;0,E80/('Salida Prod'!H80*$J$7*('Salida Prod'!M80/100))*10, ), )</f>
        <v>0</v>
      </c>
      <c r="J80" s="82">
        <f>IF(ISNUMBER('Entrada Prod (semanal)'!J72),'Entrada Prod (semanal)'!J72/10,"")</f>
        <v>0</v>
      </c>
      <c r="K80" s="371">
        <v>204.9</v>
      </c>
      <c r="L80" s="177">
        <f>IF(ISNUMBER('Entrada Prod (semanal)'!O72),'Entrada Prod (semanal)'!O72,"")</f>
        <v>0</v>
      </c>
      <c r="M80" s="348">
        <v>198.75299999999999</v>
      </c>
      <c r="N80" s="349">
        <v>211.04699999999997</v>
      </c>
      <c r="O80" s="350">
        <f t="shared" si="10"/>
        <v>12.293999999999983</v>
      </c>
      <c r="P80" s="351">
        <f t="shared" si="12"/>
        <v>0</v>
      </c>
      <c r="Q80" s="351">
        <f t="shared" si="13"/>
        <v>0</v>
      </c>
      <c r="U80" s="84"/>
      <c r="V80" s="84"/>
    </row>
    <row r="81" spans="1:22" x14ac:dyDescent="0.25">
      <c r="A81" s="275">
        <v>85</v>
      </c>
      <c r="B81" s="71">
        <f>'Salida Prod'!B81</f>
        <v>0</v>
      </c>
      <c r="C81" s="66">
        <f>IF('Entrada Prod (semanal)'!K73&gt;0,'Entrada Prod (semanal)'!K73,IF('Entrada Prod (semanal)'!L73&gt;0,'Entrada Prod (semanal)'!L73*7*B81/1000, ))</f>
        <v>0</v>
      </c>
      <c r="D81" s="151">
        <f>IF('Entrada Prod (semanal)'!L73&gt;0,'Entrada Prod (semanal)'!L73,IF('Entrada Prod (semanal)'!K73&gt;0,'Entrada Prod (semanal)'!K73*1000/7/B81, ))</f>
        <v>0</v>
      </c>
      <c r="E81" s="78">
        <f>IF(C81&gt;0,SUM(C$11:C81), )</f>
        <v>0</v>
      </c>
      <c r="F81" s="81">
        <f>IF('Entrada Prod (semanal)'!N73&gt;0,'Entrada Prod (semanal)'!N73,IF('Entrada Prod (semanal)'!M73&gt;0,'Entrada Prod (semanal)'!M73*1000/7/B81, ))</f>
        <v>0</v>
      </c>
      <c r="G81" s="99">
        <f t="shared" si="11"/>
        <v>0</v>
      </c>
      <c r="H81" s="153">
        <f>IF($J$7&gt;0,IF('Entrada Prod (semanal)'!I73&gt;0,C81/('Salida Prod'!X81*$J$7*('Salida Prod'!K81/100))*10, ), )</f>
        <v>0</v>
      </c>
      <c r="I81" s="154">
        <f>IF($J$7&gt;0,IF('Entrada Prod (semanal)'!I73&gt;0,E81/('Salida Prod'!H81*$J$7*('Salida Prod'!M81/100))*10, ), )</f>
        <v>0</v>
      </c>
      <c r="J81" s="81">
        <f>IF(ISNUMBER('Entrada Prod (semanal)'!J73),'Entrada Prod (semanal)'!J73/10,"")</f>
        <v>0</v>
      </c>
      <c r="K81" s="370">
        <v>205</v>
      </c>
      <c r="L81" s="176">
        <f>IF(ISNUMBER('Entrada Prod (semanal)'!O73),'Entrada Prod (semanal)'!O73,"")</f>
        <v>0</v>
      </c>
      <c r="M81" s="348">
        <v>198.85</v>
      </c>
      <c r="N81" s="349">
        <v>211.15</v>
      </c>
      <c r="O81" s="350">
        <f t="shared" si="10"/>
        <v>12.300000000000011</v>
      </c>
      <c r="P81" s="351">
        <f t="shared" si="12"/>
        <v>0</v>
      </c>
      <c r="Q81" s="351">
        <f t="shared" si="13"/>
        <v>0</v>
      </c>
      <c r="U81" s="84"/>
      <c r="V81" s="84"/>
    </row>
    <row r="82" spans="1:22" x14ac:dyDescent="0.25">
      <c r="A82" s="275">
        <v>86</v>
      </c>
      <c r="B82" s="71">
        <f>'Salida Prod'!B82</f>
        <v>0</v>
      </c>
      <c r="C82" s="66">
        <f>IF('Entrada Prod (semanal)'!K74&gt;0,'Entrada Prod (semanal)'!K74,IF('Entrada Prod (semanal)'!L74&gt;0,'Entrada Prod (semanal)'!L74*7*B82/1000, ))</f>
        <v>0</v>
      </c>
      <c r="D82" s="151">
        <f>IF('Entrada Prod (semanal)'!L74&gt;0,'Entrada Prod (semanal)'!L74,IF('Entrada Prod (semanal)'!K74&gt;0,'Entrada Prod (semanal)'!K74*1000/7/B82, ))</f>
        <v>0</v>
      </c>
      <c r="E82" s="78">
        <f>IF(C82&gt;0,SUM(C$11:C82), )</f>
        <v>0</v>
      </c>
      <c r="F82" s="81">
        <f>IF('Entrada Prod (semanal)'!N74&gt;0,'Entrada Prod (semanal)'!N74,IF('Entrada Prod (semanal)'!M74&gt;0,'Entrada Prod (semanal)'!M74*1000/7/B82, ))</f>
        <v>0</v>
      </c>
      <c r="G82" s="99">
        <f t="shared" si="11"/>
        <v>0</v>
      </c>
      <c r="H82" s="153">
        <f>IF($J$7&gt;0,IF('Entrada Prod (semanal)'!I74&gt;0,C82/('Salida Prod'!X82*$J$7*('Salida Prod'!K82/100))*10, ), )</f>
        <v>0</v>
      </c>
      <c r="I82" s="154">
        <f>IF($J$7&gt;0,IF('Entrada Prod (semanal)'!I74&gt;0,E82/('Salida Prod'!H82*$J$7*('Salida Prod'!M82/100))*10, ), )</f>
        <v>0</v>
      </c>
      <c r="J82" s="81">
        <f>IF(ISNUMBER('Entrada Prod (semanal)'!J74),'Entrada Prod (semanal)'!J74/10,"")</f>
        <v>0</v>
      </c>
      <c r="K82" s="370">
        <v>205.1</v>
      </c>
      <c r="L82" s="176">
        <f>IF(ISNUMBER('Entrada Prod (semanal)'!O74),'Entrada Prod (semanal)'!O74,"")</f>
        <v>0</v>
      </c>
      <c r="M82" s="348">
        <v>198.947</v>
      </c>
      <c r="N82" s="349">
        <v>211.25300000000001</v>
      </c>
      <c r="O82" s="350">
        <f t="shared" si="10"/>
        <v>12.306000000000012</v>
      </c>
      <c r="P82" s="351">
        <f t="shared" si="12"/>
        <v>0</v>
      </c>
      <c r="Q82" s="351">
        <f t="shared" si="13"/>
        <v>0</v>
      </c>
      <c r="U82" s="84"/>
      <c r="V82" s="84"/>
    </row>
    <row r="83" spans="1:22" x14ac:dyDescent="0.25">
      <c r="A83" s="275">
        <v>87</v>
      </c>
      <c r="B83" s="71">
        <f>'Salida Prod'!B83</f>
        <v>0</v>
      </c>
      <c r="C83" s="66">
        <f>IF('Entrada Prod (semanal)'!K75&gt;0,'Entrada Prod (semanal)'!K75,IF('Entrada Prod (semanal)'!L75&gt;0,'Entrada Prod (semanal)'!L75*7*B83/1000, ))</f>
        <v>0</v>
      </c>
      <c r="D83" s="151">
        <f>IF('Entrada Prod (semanal)'!L75&gt;0,'Entrada Prod (semanal)'!L75,IF('Entrada Prod (semanal)'!K75&gt;0,'Entrada Prod (semanal)'!K75*1000/7/B83, ))</f>
        <v>0</v>
      </c>
      <c r="E83" s="78">
        <f>IF(C83&gt;0,SUM(C$11:C83), )</f>
        <v>0</v>
      </c>
      <c r="F83" s="81">
        <f>IF('Entrada Prod (semanal)'!N75&gt;0,'Entrada Prod (semanal)'!N75,IF('Entrada Prod (semanal)'!M75&gt;0,'Entrada Prod (semanal)'!M75*1000/7/B83, ))</f>
        <v>0</v>
      </c>
      <c r="G83" s="99">
        <f t="shared" si="11"/>
        <v>0</v>
      </c>
      <c r="H83" s="153">
        <f>IF($J$7&gt;0,IF('Entrada Prod (semanal)'!I75&gt;0,C83/('Salida Prod'!X83*$J$7*('Salida Prod'!K83/100))*10, ), )</f>
        <v>0</v>
      </c>
      <c r="I83" s="154">
        <f>IF($J$7&gt;0,IF('Entrada Prod (semanal)'!I75&gt;0,E83/('Salida Prod'!H83*$J$7*('Salida Prod'!M83/100))*10, ), )</f>
        <v>0</v>
      </c>
      <c r="J83" s="81">
        <f>IF(ISNUMBER('Entrada Prod (semanal)'!J75),'Entrada Prod (semanal)'!J75/10,"")</f>
        <v>0</v>
      </c>
      <c r="K83" s="370">
        <v>205.2</v>
      </c>
      <c r="L83" s="176">
        <f>IF(ISNUMBER('Entrada Prod (semanal)'!O75),'Entrada Prod (semanal)'!O75,"")</f>
        <v>0</v>
      </c>
      <c r="M83" s="348">
        <v>199.04400000000001</v>
      </c>
      <c r="N83" s="349">
        <v>211.35599999999999</v>
      </c>
      <c r="O83" s="350">
        <f t="shared" si="10"/>
        <v>12.311999999999983</v>
      </c>
      <c r="P83" s="351">
        <f t="shared" si="12"/>
        <v>0</v>
      </c>
      <c r="Q83" s="351">
        <f t="shared" si="13"/>
        <v>0</v>
      </c>
      <c r="U83" s="84"/>
      <c r="V83" s="84"/>
    </row>
    <row r="84" spans="1:22" x14ac:dyDescent="0.25">
      <c r="A84" s="276">
        <v>88</v>
      </c>
      <c r="B84" s="69">
        <f>'Salida Prod'!B84</f>
        <v>0</v>
      </c>
      <c r="C84" s="97">
        <f>IF('Entrada Prod (semanal)'!K76&gt;0,'Entrada Prod (semanal)'!K76,IF('Entrada Prod (semanal)'!L76&gt;0,'Entrada Prod (semanal)'!L76*7*B84/1000, ))</f>
        <v>0</v>
      </c>
      <c r="D84" s="112">
        <f>IF('Entrada Prod (semanal)'!L76&gt;0,'Entrada Prod (semanal)'!L76,IF('Entrada Prod (semanal)'!K76&gt;0,'Entrada Prod (semanal)'!K76*1000/7/B84, ))</f>
        <v>0</v>
      </c>
      <c r="E84" s="68">
        <f>IF(C84&gt;0,SUM(C$11:C84), )</f>
        <v>0</v>
      </c>
      <c r="F84" s="82">
        <f>IF('Entrada Prod (semanal)'!N76&gt;0,'Entrada Prod (semanal)'!N76,IF('Entrada Prod (semanal)'!M76&gt;0,'Entrada Prod (semanal)'!M76*1000/7/B84, ))</f>
        <v>0</v>
      </c>
      <c r="G84" s="100">
        <f t="shared" si="11"/>
        <v>0</v>
      </c>
      <c r="H84" s="155">
        <f>IF($J$7&gt;0,IF('Entrada Prod (semanal)'!I76&gt;0,C84/('Salida Prod'!X84*$J$7*('Salida Prod'!K84/100))*10, ), )</f>
        <v>0</v>
      </c>
      <c r="I84" s="105">
        <f>IF($J$7&gt;0,IF('Entrada Prod (semanal)'!I76&gt;0,E84/('Salida Prod'!H84*$J$7*('Salida Prod'!M84/100))*10, ), )</f>
        <v>0</v>
      </c>
      <c r="J84" s="82">
        <f>IF(ISNUMBER('Entrada Prod (semanal)'!J76),'Entrada Prod (semanal)'!J76/10,"")</f>
        <v>0</v>
      </c>
      <c r="K84" s="371">
        <v>205.3</v>
      </c>
      <c r="L84" s="177">
        <f>IF(ISNUMBER('Entrada Prod (semanal)'!O76),'Entrada Prod (semanal)'!O76,"")</f>
        <v>0</v>
      </c>
      <c r="M84" s="348">
        <v>199.14100000000002</v>
      </c>
      <c r="N84" s="349">
        <v>211.459</v>
      </c>
      <c r="O84" s="350">
        <f t="shared" si="10"/>
        <v>12.317999999999984</v>
      </c>
      <c r="P84" s="351">
        <f t="shared" si="12"/>
        <v>0</v>
      </c>
      <c r="Q84" s="351">
        <f t="shared" si="13"/>
        <v>0</v>
      </c>
      <c r="U84" s="84"/>
      <c r="V84" s="84"/>
    </row>
    <row r="85" spans="1:22" x14ac:dyDescent="0.25">
      <c r="A85" s="275">
        <v>89</v>
      </c>
      <c r="B85" s="71">
        <f>'Salida Prod'!B85</f>
        <v>0</v>
      </c>
      <c r="C85" s="66">
        <f>IF('Entrada Prod (semanal)'!K77&gt;0,'Entrada Prod (semanal)'!K77,IF('Entrada Prod (semanal)'!L77&gt;0,'Entrada Prod (semanal)'!L77*7*B85/1000, ))</f>
        <v>0</v>
      </c>
      <c r="D85" s="151">
        <f>IF('Entrada Prod (semanal)'!L77&gt;0,'Entrada Prod (semanal)'!L77,IF('Entrada Prod (semanal)'!K77&gt;0,'Entrada Prod (semanal)'!K77*1000/7/B85, ))</f>
        <v>0</v>
      </c>
      <c r="E85" s="78">
        <f>IF(C85&gt;0,SUM(C$11:C85), )</f>
        <v>0</v>
      </c>
      <c r="F85" s="81">
        <f>IF('Entrada Prod (semanal)'!N77&gt;0,'Entrada Prod (semanal)'!N77,IF('Entrada Prod (semanal)'!M77&gt;0,'Entrada Prod (semanal)'!M77*1000/7/B85, ))</f>
        <v>0</v>
      </c>
      <c r="G85" s="99">
        <f t="shared" si="11"/>
        <v>0</v>
      </c>
      <c r="H85" s="153">
        <f>IF($J$7&gt;0,IF('Entrada Prod (semanal)'!I77&gt;0,C85/('Salida Prod'!X85*$J$7*('Salida Prod'!K85/100))*10, ), )</f>
        <v>0</v>
      </c>
      <c r="I85" s="154">
        <f>IF($J$7&gt;0,IF('Entrada Prod (semanal)'!I77&gt;0,E85/('Salida Prod'!H85*$J$7*('Salida Prod'!M85/100))*10, ), )</f>
        <v>0</v>
      </c>
      <c r="J85" s="81">
        <f>IF(ISNUMBER('Entrada Prod (semanal)'!J77),'Entrada Prod (semanal)'!J77/10,"")</f>
        <v>0</v>
      </c>
      <c r="K85" s="370">
        <v>205.4</v>
      </c>
      <c r="L85" s="176">
        <f>IF(ISNUMBER('Entrada Prod (semanal)'!O77),'Entrada Prod (semanal)'!O77,"")</f>
        <v>0</v>
      </c>
      <c r="M85" s="348">
        <v>199.238</v>
      </c>
      <c r="N85" s="349">
        <v>211.56199999999998</v>
      </c>
      <c r="O85" s="350">
        <f t="shared" si="10"/>
        <v>12.323999999999984</v>
      </c>
      <c r="P85" s="351">
        <f t="shared" si="12"/>
        <v>0</v>
      </c>
      <c r="Q85" s="351">
        <f t="shared" si="13"/>
        <v>0</v>
      </c>
      <c r="U85" s="84"/>
      <c r="V85" s="84"/>
    </row>
    <row r="86" spans="1:22" x14ac:dyDescent="0.25">
      <c r="A86" s="275">
        <v>90</v>
      </c>
      <c r="B86" s="71">
        <f>'Salida Prod'!B86</f>
        <v>0</v>
      </c>
      <c r="C86" s="66">
        <f>IF('Entrada Prod (semanal)'!K78&gt;0,'Entrada Prod (semanal)'!K78,IF('Entrada Prod (semanal)'!L78&gt;0,'Entrada Prod (semanal)'!L78*7*B86/1000, ))</f>
        <v>0</v>
      </c>
      <c r="D86" s="151">
        <f>IF('Entrada Prod (semanal)'!L78&gt;0,'Entrada Prod (semanal)'!L78,IF('Entrada Prod (semanal)'!K78&gt;0,'Entrada Prod (semanal)'!K78*1000/7/B86, ))</f>
        <v>0</v>
      </c>
      <c r="E86" s="78">
        <f>IF(C86&gt;0,SUM(C$11:C86), )</f>
        <v>0</v>
      </c>
      <c r="F86" s="81">
        <f>IF('Entrada Prod (semanal)'!N78&gt;0,'Entrada Prod (semanal)'!N78,IF('Entrada Prod (semanal)'!M78&gt;0,'Entrada Prod (semanal)'!M78*1000/7/B86, ))</f>
        <v>0</v>
      </c>
      <c r="G86" s="99">
        <f t="shared" si="11"/>
        <v>0</v>
      </c>
      <c r="H86" s="153">
        <f>IF($J$7&gt;0,IF('Entrada Prod (semanal)'!I78&gt;0,C86/('Salida Prod'!X86*$J$7*('Salida Prod'!K86/100))*10, ), )</f>
        <v>0</v>
      </c>
      <c r="I86" s="154">
        <f>IF($J$7&gt;0,IF('Entrada Prod (semanal)'!I78&gt;0,E86/('Salida Prod'!H86*$J$7*('Salida Prod'!M86/100))*10, ), )</f>
        <v>0</v>
      </c>
      <c r="J86" s="81">
        <f>IF(ISNUMBER('Entrada Prod (semanal)'!J78),'Entrada Prod (semanal)'!J78/10,"")</f>
        <v>0</v>
      </c>
      <c r="K86" s="370">
        <v>205.5</v>
      </c>
      <c r="L86" s="176">
        <f>IF(ISNUMBER('Entrada Prod (semanal)'!O78),'Entrada Prod (semanal)'!O78,"")</f>
        <v>0</v>
      </c>
      <c r="M86" s="348">
        <v>199.33499999999998</v>
      </c>
      <c r="N86" s="349">
        <v>211.66500000000002</v>
      </c>
      <c r="O86" s="350">
        <f t="shared" si="10"/>
        <v>12.330000000000041</v>
      </c>
      <c r="P86" s="351">
        <f t="shared" si="12"/>
        <v>0</v>
      </c>
      <c r="Q86" s="351">
        <f t="shared" si="13"/>
        <v>0</v>
      </c>
      <c r="U86" s="84"/>
      <c r="V86" s="84"/>
    </row>
    <row r="87" spans="1:22" x14ac:dyDescent="0.25">
      <c r="A87" s="275">
        <v>91</v>
      </c>
      <c r="B87" s="71">
        <f>'Salida Prod'!B87</f>
        <v>0</v>
      </c>
      <c r="C87" s="66">
        <f>IF('Entrada Prod (semanal)'!K79&gt;0,'Entrada Prod (semanal)'!K79,IF('Entrada Prod (semanal)'!L79&gt;0,'Entrada Prod (semanal)'!L79*7*B87/1000, ))</f>
        <v>0</v>
      </c>
      <c r="D87" s="151">
        <f>IF('Entrada Prod (semanal)'!L79&gt;0,'Entrada Prod (semanal)'!L79,IF('Entrada Prod (semanal)'!K79&gt;0,'Entrada Prod (semanal)'!K79*1000/7/B87, ))</f>
        <v>0</v>
      </c>
      <c r="E87" s="78">
        <f>IF(C87&gt;0,SUM(C$11:C87), )</f>
        <v>0</v>
      </c>
      <c r="F87" s="81">
        <f>IF('Entrada Prod (semanal)'!N79&gt;0,'Entrada Prod (semanal)'!N79,IF('Entrada Prod (semanal)'!M79&gt;0,'Entrada Prod (semanal)'!M79*1000/7/B87, ))</f>
        <v>0</v>
      </c>
      <c r="G87" s="99">
        <f t="shared" si="11"/>
        <v>0</v>
      </c>
      <c r="H87" s="153">
        <f>IF($J$7&gt;0,IF('Entrada Prod (semanal)'!I79&gt;0,C87/('Salida Prod'!X87*$J$7*('Salida Prod'!K87/100))*10, ), )</f>
        <v>0</v>
      </c>
      <c r="I87" s="154">
        <f>IF($J$7&gt;0,IF('Entrada Prod (semanal)'!I79&gt;0,E87/('Salida Prod'!H87*$J$7*('Salida Prod'!M87/100))*10, ), )</f>
        <v>0</v>
      </c>
      <c r="J87" s="81">
        <f>IF(ISNUMBER('Entrada Prod (semanal)'!J79),'Entrada Prod (semanal)'!J79/10,"")</f>
        <v>0</v>
      </c>
      <c r="K87" s="370">
        <v>205.6</v>
      </c>
      <c r="L87" s="176">
        <f>IF(ISNUMBER('Entrada Prod (semanal)'!O79),'Entrada Prod (semanal)'!O79,"")</f>
        <v>0</v>
      </c>
      <c r="M87" s="348">
        <v>199.43199999999999</v>
      </c>
      <c r="N87" s="349">
        <v>211.76799999999997</v>
      </c>
      <c r="O87" s="350">
        <f t="shared" si="10"/>
        <v>12.335999999999984</v>
      </c>
      <c r="P87" s="351">
        <f t="shared" si="12"/>
        <v>0</v>
      </c>
      <c r="Q87" s="351">
        <f t="shared" si="13"/>
        <v>0</v>
      </c>
      <c r="U87" s="84"/>
      <c r="V87" s="84"/>
    </row>
    <row r="88" spans="1:22" x14ac:dyDescent="0.25">
      <c r="A88" s="276">
        <v>92</v>
      </c>
      <c r="B88" s="69">
        <f>'Salida Prod'!B88</f>
        <v>0</v>
      </c>
      <c r="C88" s="97">
        <f>IF('Entrada Prod (semanal)'!K80&gt;0,'Entrada Prod (semanal)'!K80,IF('Entrada Prod (semanal)'!L80&gt;0,'Entrada Prod (semanal)'!L80*7*B88/1000, ))</f>
        <v>0</v>
      </c>
      <c r="D88" s="112">
        <f>IF('Entrada Prod (semanal)'!L80&gt;0,'Entrada Prod (semanal)'!L80,IF('Entrada Prod (semanal)'!K80&gt;0,'Entrada Prod (semanal)'!K80*1000/7/B88, ))</f>
        <v>0</v>
      </c>
      <c r="E88" s="68">
        <f>IF(C88&gt;0,SUM(C$11:C88), )</f>
        <v>0</v>
      </c>
      <c r="F88" s="82">
        <f>IF('Entrada Prod (semanal)'!N80&gt;0,'Entrada Prod (semanal)'!N80,IF('Entrada Prod (semanal)'!M80&gt;0,'Entrada Prod (semanal)'!M80*1000/7/B88, ))</f>
        <v>0</v>
      </c>
      <c r="G88" s="100">
        <f t="shared" si="11"/>
        <v>0</v>
      </c>
      <c r="H88" s="155">
        <f>IF($J$7&gt;0,IF('Entrada Prod (semanal)'!I80&gt;0,C88/('Salida Prod'!X88*$J$7*('Salida Prod'!K88/100))*10, ), )</f>
        <v>0</v>
      </c>
      <c r="I88" s="105">
        <f>IF($J$7&gt;0,IF('Entrada Prod (semanal)'!I80&gt;0,E88/('Salida Prod'!H88*$J$7*('Salida Prod'!M88/100))*10, ), )</f>
        <v>0</v>
      </c>
      <c r="J88" s="82">
        <f>IF(ISNUMBER('Entrada Prod (semanal)'!J80),'Entrada Prod (semanal)'!J80/10,"")</f>
        <v>0</v>
      </c>
      <c r="K88" s="371">
        <v>205.7</v>
      </c>
      <c r="L88" s="177">
        <f>IF(ISNUMBER('Entrada Prod (semanal)'!O80),'Entrada Prod (semanal)'!O80,"")</f>
        <v>0</v>
      </c>
      <c r="M88" s="348">
        <v>199.529</v>
      </c>
      <c r="N88" s="349">
        <v>211.87100000000001</v>
      </c>
      <c r="O88" s="350">
        <f t="shared" si="10"/>
        <v>12.342000000000013</v>
      </c>
      <c r="P88" s="351">
        <f t="shared" si="12"/>
        <v>0</v>
      </c>
      <c r="Q88" s="351">
        <f t="shared" si="13"/>
        <v>0</v>
      </c>
      <c r="U88" s="84"/>
      <c r="V88" s="84"/>
    </row>
    <row r="89" spans="1:22" x14ac:dyDescent="0.25">
      <c r="A89" s="275">
        <v>93</v>
      </c>
      <c r="B89" s="71">
        <f>'Salida Prod'!B89</f>
        <v>0</v>
      </c>
      <c r="C89" s="66">
        <f>IF('Entrada Prod (semanal)'!K81&gt;0,'Entrada Prod (semanal)'!K81,IF('Entrada Prod (semanal)'!L81&gt;0,'Entrada Prod (semanal)'!L81*7*B89/1000, ))</f>
        <v>0</v>
      </c>
      <c r="D89" s="151">
        <f>IF('Entrada Prod (semanal)'!L81&gt;0,'Entrada Prod (semanal)'!L81,IF('Entrada Prod (semanal)'!K81&gt;0,'Entrada Prod (semanal)'!K81*1000/7/B89, ))</f>
        <v>0</v>
      </c>
      <c r="E89" s="78">
        <f>IF(C89&gt;0,SUM(C$11:C89), )</f>
        <v>0</v>
      </c>
      <c r="F89" s="81">
        <f>IF('Entrada Prod (semanal)'!N81&gt;0,'Entrada Prod (semanal)'!N81,IF('Entrada Prod (semanal)'!M81&gt;0,'Entrada Prod (semanal)'!M81*1000/7/B89, ))</f>
        <v>0</v>
      </c>
      <c r="G89" s="99">
        <f t="shared" si="11"/>
        <v>0</v>
      </c>
      <c r="H89" s="153">
        <f>IF($J$7&gt;0,IF('Entrada Prod (semanal)'!I81&gt;0,C89/('Salida Prod'!X89*$J$7*('Salida Prod'!K89/100))*10, ), )</f>
        <v>0</v>
      </c>
      <c r="I89" s="154">
        <f>IF($J$7&gt;0,IF('Entrada Prod (semanal)'!I81&gt;0,E89/('Salida Prod'!H89*$J$7*('Salida Prod'!M89/100))*10, ), )</f>
        <v>0</v>
      </c>
      <c r="J89" s="81">
        <f>IF(ISNUMBER('Entrada Prod (semanal)'!J81),'Entrada Prod (semanal)'!J81/10,"")</f>
        <v>0</v>
      </c>
      <c r="K89" s="370">
        <v>205.8</v>
      </c>
      <c r="L89" s="176">
        <f>IF(ISNUMBER('Entrada Prod (semanal)'!O81),'Entrada Prod (semanal)'!O81,"")</f>
        <v>0</v>
      </c>
      <c r="M89" s="348">
        <v>199.626</v>
      </c>
      <c r="N89" s="349">
        <v>211.97399999999999</v>
      </c>
      <c r="O89" s="350">
        <f t="shared" si="10"/>
        <v>12.347999999999985</v>
      </c>
      <c r="P89" s="351">
        <f t="shared" si="12"/>
        <v>0</v>
      </c>
      <c r="Q89" s="351">
        <f t="shared" si="13"/>
        <v>0</v>
      </c>
      <c r="U89" s="84"/>
      <c r="V89" s="84"/>
    </row>
    <row r="90" spans="1:22" x14ac:dyDescent="0.25">
      <c r="A90" s="275">
        <v>94</v>
      </c>
      <c r="B90" s="71">
        <f>'Salida Prod'!B90</f>
        <v>0</v>
      </c>
      <c r="C90" s="66">
        <f>IF('Entrada Prod (semanal)'!K82&gt;0,'Entrada Prod (semanal)'!K82,IF('Entrada Prod (semanal)'!L82&gt;0,'Entrada Prod (semanal)'!L82*7*B90/1000, ))</f>
        <v>0</v>
      </c>
      <c r="D90" s="151">
        <f>IF('Entrada Prod (semanal)'!L82&gt;0,'Entrada Prod (semanal)'!L82,IF('Entrada Prod (semanal)'!K82&gt;0,'Entrada Prod (semanal)'!K82*1000/7/B90, ))</f>
        <v>0</v>
      </c>
      <c r="E90" s="78">
        <f>IF(C90&gt;0,SUM(C$11:C90), )</f>
        <v>0</v>
      </c>
      <c r="F90" s="81">
        <f>IF('Entrada Prod (semanal)'!N82&gt;0,'Entrada Prod (semanal)'!N82,IF('Entrada Prod (semanal)'!M82&gt;0,'Entrada Prod (semanal)'!M82*1000/7/B90, ))</f>
        <v>0</v>
      </c>
      <c r="G90" s="99">
        <f t="shared" si="11"/>
        <v>0</v>
      </c>
      <c r="H90" s="153">
        <f>IF($J$7&gt;0,IF('Entrada Prod (semanal)'!I82&gt;0,C90/('Salida Prod'!X90*$J$7*('Salida Prod'!K90/100))*10, ), )</f>
        <v>0</v>
      </c>
      <c r="I90" s="154">
        <f>IF($J$7&gt;0,IF('Entrada Prod (semanal)'!I82&gt;0,E90/('Salida Prod'!H90*$J$7*('Salida Prod'!M90/100))*10, ), )</f>
        <v>0</v>
      </c>
      <c r="J90" s="81">
        <f>IF(ISNUMBER('Entrada Prod (semanal)'!J82),'Entrada Prod (semanal)'!J82/10,"")</f>
        <v>0</v>
      </c>
      <c r="K90" s="370">
        <v>205.9</v>
      </c>
      <c r="L90" s="176">
        <f>IF(ISNUMBER('Entrada Prod (semanal)'!O82),'Entrada Prod (semanal)'!O82,"")</f>
        <v>0</v>
      </c>
      <c r="M90" s="348">
        <v>199.72300000000001</v>
      </c>
      <c r="N90" s="349">
        <v>212.077</v>
      </c>
      <c r="O90" s="350">
        <f t="shared" si="10"/>
        <v>12.353999999999985</v>
      </c>
      <c r="P90" s="351">
        <f t="shared" si="12"/>
        <v>0</v>
      </c>
      <c r="Q90" s="351">
        <f t="shared" si="13"/>
        <v>0</v>
      </c>
      <c r="U90" s="84"/>
      <c r="V90" s="84"/>
    </row>
    <row r="91" spans="1:22" x14ac:dyDescent="0.25">
      <c r="A91" s="275">
        <v>95</v>
      </c>
      <c r="B91" s="71">
        <f>'Salida Prod'!B91</f>
        <v>0</v>
      </c>
      <c r="C91" s="66">
        <f>IF('Entrada Prod (semanal)'!K83&gt;0,'Entrada Prod (semanal)'!K83,IF('Entrada Prod (semanal)'!L83&gt;0,'Entrada Prod (semanal)'!L83*7*B91/1000, ))</f>
        <v>0</v>
      </c>
      <c r="D91" s="151">
        <f>IF('Entrada Prod (semanal)'!L83&gt;0,'Entrada Prod (semanal)'!L83,IF('Entrada Prod (semanal)'!K83&gt;0,'Entrada Prod (semanal)'!K83*1000/7/B91, ))</f>
        <v>0</v>
      </c>
      <c r="E91" s="78">
        <f>IF(C91&gt;0,SUM(C$11:C91), )</f>
        <v>0</v>
      </c>
      <c r="F91" s="81">
        <f>IF('Entrada Prod (semanal)'!N83&gt;0,'Entrada Prod (semanal)'!N83,IF('Entrada Prod (semanal)'!M83&gt;0,'Entrada Prod (semanal)'!M83*1000/7/B91, ))</f>
        <v>0</v>
      </c>
      <c r="G91" s="99">
        <f t="shared" si="11"/>
        <v>0</v>
      </c>
      <c r="H91" s="153">
        <f>IF($J$7&gt;0,IF('Entrada Prod (semanal)'!I83&gt;0,C91/('Salida Prod'!X91*$J$7*('Salida Prod'!K91/100))*10, ), )</f>
        <v>0</v>
      </c>
      <c r="I91" s="154">
        <f>IF($J$7&gt;0,IF('Entrada Prod (semanal)'!I83&gt;0,E91/('Salida Prod'!H91*$J$7*('Salida Prod'!M91/100))*10, ), )</f>
        <v>0</v>
      </c>
      <c r="J91" s="81">
        <f>IF(ISNUMBER('Entrada Prod (semanal)'!J83),'Entrada Prod (semanal)'!J83/10,"")</f>
        <v>0</v>
      </c>
      <c r="K91" s="370">
        <v>206</v>
      </c>
      <c r="L91" s="176">
        <f>IF(ISNUMBER('Entrada Prod (semanal)'!O83),'Entrada Prod (semanal)'!O83,"")</f>
        <v>0</v>
      </c>
      <c r="M91" s="348">
        <v>199.82</v>
      </c>
      <c r="N91" s="349">
        <v>212.18</v>
      </c>
      <c r="O91" s="350">
        <f t="shared" si="10"/>
        <v>12.360000000000014</v>
      </c>
      <c r="P91" s="351">
        <f t="shared" si="12"/>
        <v>0</v>
      </c>
      <c r="Q91" s="351">
        <f t="shared" si="13"/>
        <v>0</v>
      </c>
      <c r="U91" s="84"/>
      <c r="V91" s="84"/>
    </row>
    <row r="92" spans="1:22" x14ac:dyDescent="0.25">
      <c r="A92" s="276">
        <v>96</v>
      </c>
      <c r="B92" s="69">
        <f>'Salida Prod'!B92</f>
        <v>0</v>
      </c>
      <c r="C92" s="97">
        <f>IF('Entrada Prod (semanal)'!K84&gt;0,'Entrada Prod (semanal)'!K84,IF('Entrada Prod (semanal)'!L84&gt;0,'Entrada Prod (semanal)'!L84*7*B92/1000, ))</f>
        <v>0</v>
      </c>
      <c r="D92" s="112">
        <f>IF('Entrada Prod (semanal)'!L84&gt;0,'Entrada Prod (semanal)'!L84,IF('Entrada Prod (semanal)'!K84&gt;0,'Entrada Prod (semanal)'!K84*1000/7/B92, ))</f>
        <v>0</v>
      </c>
      <c r="E92" s="68">
        <f>IF(C92&gt;0,SUM(C$11:C92), )</f>
        <v>0</v>
      </c>
      <c r="F92" s="82">
        <f>IF('Entrada Prod (semanal)'!N84&gt;0,'Entrada Prod (semanal)'!N84,IF('Entrada Prod (semanal)'!M84&gt;0,'Entrada Prod (semanal)'!M84*1000/7/B92, ))</f>
        <v>0</v>
      </c>
      <c r="G92" s="100">
        <f t="shared" ref="G92:G107" si="14">IF(D92&gt;0,IF(F92&gt;0,F92/D92, ), )</f>
        <v>0</v>
      </c>
      <c r="H92" s="155">
        <f>IF($J$7&gt;0,IF('Entrada Prod (semanal)'!I84&gt;0,C92/('Salida Prod'!X92*$J$7*('Salida Prod'!K92/100))*10, ), )</f>
        <v>0</v>
      </c>
      <c r="I92" s="105">
        <f>IF($J$7&gt;0,IF('Entrada Prod (semanal)'!I84&gt;0,E92/('Salida Prod'!H92*$J$7*('Salida Prod'!M92/100))*10, ), )</f>
        <v>0</v>
      </c>
      <c r="J92" s="82">
        <f>IF(ISNUMBER('Entrada Prod (semanal)'!J84),'Entrada Prod (semanal)'!J84/10,"")</f>
        <v>0</v>
      </c>
      <c r="K92" s="371"/>
      <c r="L92" s="177">
        <f>IF(ISNUMBER('Entrada Prod (semanal)'!O84),'Entrada Prod (semanal)'!O84,"")</f>
        <v>0</v>
      </c>
      <c r="M92" s="348">
        <f t="shared" ref="M92:M116" si="15">K92*0.95</f>
        <v>0</v>
      </c>
      <c r="N92" s="349">
        <f t="shared" ref="N92:N116" si="16">K92*1.05</f>
        <v>0</v>
      </c>
      <c r="O92" s="350">
        <f t="shared" si="10"/>
        <v>0</v>
      </c>
      <c r="P92" s="351">
        <f t="shared" si="12"/>
        <v>0</v>
      </c>
      <c r="Q92" s="351">
        <f t="shared" si="13"/>
        <v>0</v>
      </c>
      <c r="U92" s="84"/>
      <c r="V92" s="84"/>
    </row>
    <row r="93" spans="1:22" x14ac:dyDescent="0.25">
      <c r="A93" s="275">
        <v>97</v>
      </c>
      <c r="B93" s="71">
        <f>'Salida Prod'!B93</f>
        <v>0</v>
      </c>
      <c r="C93" s="66">
        <f>IF('Entrada Prod (semanal)'!K85&gt;0,'Entrada Prod (semanal)'!K85,IF('Entrada Prod (semanal)'!L85&gt;0,'Entrada Prod (semanal)'!L85*7*B93/1000, ))</f>
        <v>0</v>
      </c>
      <c r="D93" s="151">
        <f>IF('Entrada Prod (semanal)'!L85&gt;0,'Entrada Prod (semanal)'!L85,IF('Entrada Prod (semanal)'!K85&gt;0,'Entrada Prod (semanal)'!K85*1000/7/B93, ))</f>
        <v>0</v>
      </c>
      <c r="E93" s="78">
        <f>IF(C93&gt;0,SUM(C$11:C93), )</f>
        <v>0</v>
      </c>
      <c r="F93" s="81">
        <f>IF('Entrada Prod (semanal)'!N85&gt;0,'Entrada Prod (semanal)'!N85,IF('Entrada Prod (semanal)'!M85&gt;0,'Entrada Prod (semanal)'!M85*1000/7/B93, ))</f>
        <v>0</v>
      </c>
      <c r="G93" s="99">
        <f t="shared" si="14"/>
        <v>0</v>
      </c>
      <c r="H93" s="153">
        <f>IF($J$7&gt;0,IF('Entrada Prod (semanal)'!I85&gt;0,C93/('Salida Prod'!X93*$J$7*('Salida Prod'!K93/100))*10, ), )</f>
        <v>0</v>
      </c>
      <c r="I93" s="154">
        <f>IF($J$7&gt;0,IF('Entrada Prod (semanal)'!I85&gt;0,E93/('Salida Prod'!H93*$J$7*('Salida Prod'!M93/100))*10, ), )</f>
        <v>0</v>
      </c>
      <c r="J93" s="81">
        <f>IF(ISNUMBER('Entrada Prod (semanal)'!J85),'Entrada Prod (semanal)'!J85/10,"")</f>
        <v>0</v>
      </c>
      <c r="K93" s="370"/>
      <c r="L93" s="176">
        <f>IF(ISNUMBER('Entrada Prod (semanal)'!O85),'Entrada Prod (semanal)'!O85,"")</f>
        <v>0</v>
      </c>
      <c r="M93" s="348">
        <f t="shared" si="15"/>
        <v>0</v>
      </c>
      <c r="N93" s="349">
        <f t="shared" si="16"/>
        <v>0</v>
      </c>
      <c r="O93" s="350">
        <f t="shared" si="10"/>
        <v>0</v>
      </c>
      <c r="P93" s="351">
        <f t="shared" si="12"/>
        <v>0</v>
      </c>
      <c r="Q93" s="351">
        <f t="shared" si="13"/>
        <v>0</v>
      </c>
      <c r="U93" s="84"/>
      <c r="V93" s="84"/>
    </row>
    <row r="94" spans="1:22" x14ac:dyDescent="0.25">
      <c r="A94" s="275">
        <v>98</v>
      </c>
      <c r="B94" s="71">
        <f>'Salida Prod'!B94</f>
        <v>0</v>
      </c>
      <c r="C94" s="66">
        <f>IF('Entrada Prod (semanal)'!K86&gt;0,'Entrada Prod (semanal)'!K86,IF('Entrada Prod (semanal)'!L86&gt;0,'Entrada Prod (semanal)'!L86*7*B94/1000, ))</f>
        <v>0</v>
      </c>
      <c r="D94" s="151">
        <f>IF('Entrada Prod (semanal)'!L86&gt;0,'Entrada Prod (semanal)'!L86,IF('Entrada Prod (semanal)'!K86&gt;0,'Entrada Prod (semanal)'!K86*1000/7/B94, ))</f>
        <v>0</v>
      </c>
      <c r="E94" s="78">
        <f>IF(C94&gt;0,SUM(C$11:C94), )</f>
        <v>0</v>
      </c>
      <c r="F94" s="81">
        <f>IF('Entrada Prod (semanal)'!N86&gt;0,'Entrada Prod (semanal)'!N86,IF('Entrada Prod (semanal)'!M86&gt;0,'Entrada Prod (semanal)'!M86*1000/7/B94, ))</f>
        <v>0</v>
      </c>
      <c r="G94" s="99">
        <f t="shared" si="14"/>
        <v>0</v>
      </c>
      <c r="H94" s="153">
        <f>IF($J$7&gt;0,IF('Entrada Prod (semanal)'!I86&gt;0,C94/('Salida Prod'!X94*$J$7*('Salida Prod'!K94/100))*10, ), )</f>
        <v>0</v>
      </c>
      <c r="I94" s="154">
        <f>IF($J$7&gt;0,IF('Entrada Prod (semanal)'!I86&gt;0,E94/('Salida Prod'!H94*$J$7*('Salida Prod'!M94/100))*10, ), )</f>
        <v>0</v>
      </c>
      <c r="J94" s="81">
        <f>IF(ISNUMBER('Entrada Prod (semanal)'!J86),'Entrada Prod (semanal)'!J86/10,"")</f>
        <v>0</v>
      </c>
      <c r="K94" s="370"/>
      <c r="L94" s="176">
        <f>IF(ISNUMBER('Entrada Prod (semanal)'!O86),'Entrada Prod (semanal)'!O86,"")</f>
        <v>0</v>
      </c>
      <c r="M94" s="348">
        <f t="shared" si="15"/>
        <v>0</v>
      </c>
      <c r="N94" s="349">
        <f t="shared" si="16"/>
        <v>0</v>
      </c>
      <c r="O94" s="350">
        <f t="shared" si="10"/>
        <v>0</v>
      </c>
      <c r="P94" s="351">
        <f t="shared" si="12"/>
        <v>0</v>
      </c>
      <c r="Q94" s="351">
        <f t="shared" si="13"/>
        <v>0</v>
      </c>
      <c r="U94" s="84"/>
      <c r="V94" s="84"/>
    </row>
    <row r="95" spans="1:22" x14ac:dyDescent="0.25">
      <c r="A95" s="275">
        <v>99</v>
      </c>
      <c r="B95" s="71">
        <f>'Salida Prod'!B95</f>
        <v>0</v>
      </c>
      <c r="C95" s="66">
        <f>IF('Entrada Prod (semanal)'!K87&gt;0,'Entrada Prod (semanal)'!K87,IF('Entrada Prod (semanal)'!L87&gt;0,'Entrada Prod (semanal)'!L87*7*B95/1000, ))</f>
        <v>0</v>
      </c>
      <c r="D95" s="151">
        <f>IF('Entrada Prod (semanal)'!L87&gt;0,'Entrada Prod (semanal)'!L87,IF('Entrada Prod (semanal)'!K87&gt;0,'Entrada Prod (semanal)'!K87*1000/7/B95, ))</f>
        <v>0</v>
      </c>
      <c r="E95" s="78">
        <f>IF(C95&gt;0,SUM(C$11:C95), )</f>
        <v>0</v>
      </c>
      <c r="F95" s="81">
        <f>IF('Entrada Prod (semanal)'!N87&gt;0,'Entrada Prod (semanal)'!N87,IF('Entrada Prod (semanal)'!M87&gt;0,'Entrada Prod (semanal)'!M87*1000/7/B95, ))</f>
        <v>0</v>
      </c>
      <c r="G95" s="99">
        <f t="shared" si="14"/>
        <v>0</v>
      </c>
      <c r="H95" s="153">
        <f>IF($J$7&gt;0,IF('Entrada Prod (semanal)'!I87&gt;0,C95/('Salida Prod'!X95*$J$7*('Salida Prod'!K95/100))*10, ), )</f>
        <v>0</v>
      </c>
      <c r="I95" s="154">
        <f>IF($J$7&gt;0,IF('Entrada Prod (semanal)'!I87&gt;0,E95/('Salida Prod'!H95*$J$7*('Salida Prod'!M95/100))*10, ), )</f>
        <v>0</v>
      </c>
      <c r="J95" s="81">
        <f>IF(ISNUMBER('Entrada Prod (semanal)'!J87),'Entrada Prod (semanal)'!J87/10,"")</f>
        <v>0</v>
      </c>
      <c r="K95" s="370"/>
      <c r="L95" s="176">
        <f>IF(ISNUMBER('Entrada Prod (semanal)'!O87),'Entrada Prod (semanal)'!O87,"")</f>
        <v>0</v>
      </c>
      <c r="M95" s="348">
        <f t="shared" si="15"/>
        <v>0</v>
      </c>
      <c r="N95" s="349">
        <f t="shared" si="16"/>
        <v>0</v>
      </c>
      <c r="O95" s="350">
        <f t="shared" si="10"/>
        <v>0</v>
      </c>
      <c r="P95" s="351">
        <f t="shared" si="12"/>
        <v>0</v>
      </c>
      <c r="Q95" s="351">
        <f t="shared" si="13"/>
        <v>0</v>
      </c>
      <c r="U95" s="84"/>
      <c r="V95" s="84"/>
    </row>
    <row r="96" spans="1:22" x14ac:dyDescent="0.25">
      <c r="A96" s="276">
        <v>100</v>
      </c>
      <c r="B96" s="69">
        <f>'Salida Prod'!B96</f>
        <v>0</v>
      </c>
      <c r="C96" s="97">
        <f>IF('Entrada Prod (semanal)'!K88&gt;0,'Entrada Prod (semanal)'!K88,IF('Entrada Prod (semanal)'!L88&gt;0,'Entrada Prod (semanal)'!L88*7*B96/1000, ))</f>
        <v>0</v>
      </c>
      <c r="D96" s="112">
        <f>IF('Entrada Prod (semanal)'!L88&gt;0,'Entrada Prod (semanal)'!L88,IF('Entrada Prod (semanal)'!K88&gt;0,'Entrada Prod (semanal)'!K88*1000/7/B96, ))</f>
        <v>0</v>
      </c>
      <c r="E96" s="68">
        <f>IF(C96&gt;0,SUM(C$11:C96), )</f>
        <v>0</v>
      </c>
      <c r="F96" s="82">
        <f>IF('Entrada Prod (semanal)'!N88&gt;0,'Entrada Prod (semanal)'!N88,IF('Entrada Prod (semanal)'!M88&gt;0,'Entrada Prod (semanal)'!M88*1000/7/B96, ))</f>
        <v>0</v>
      </c>
      <c r="G96" s="100">
        <f t="shared" si="14"/>
        <v>0</v>
      </c>
      <c r="H96" s="155">
        <f>IF($J$7&gt;0,IF('Entrada Prod (semanal)'!I88&gt;0,C96/('Salida Prod'!X96*$J$7*('Salida Prod'!K96/100))*10, ), )</f>
        <v>0</v>
      </c>
      <c r="I96" s="105">
        <f>IF($J$7&gt;0,IF('Entrada Prod (semanal)'!I88&gt;0,E96/('Salida Prod'!H96*$J$7*('Salida Prod'!M96/100))*10, ), )</f>
        <v>0</v>
      </c>
      <c r="J96" s="82">
        <f>IF(ISNUMBER('Entrada Prod (semanal)'!J88),'Entrada Prod (semanal)'!J88/10,"")</f>
        <v>0</v>
      </c>
      <c r="K96" s="371"/>
      <c r="L96" s="177">
        <f>IF(ISNUMBER('Entrada Prod (semanal)'!O88),'Entrada Prod (semanal)'!O88,"")</f>
        <v>0</v>
      </c>
      <c r="M96" s="348">
        <f t="shared" si="15"/>
        <v>0</v>
      </c>
      <c r="N96" s="349">
        <f t="shared" si="16"/>
        <v>0</v>
      </c>
      <c r="O96" s="350">
        <f t="shared" si="10"/>
        <v>0</v>
      </c>
      <c r="P96" s="351">
        <f t="shared" si="12"/>
        <v>0</v>
      </c>
      <c r="Q96" s="351">
        <f t="shared" si="13"/>
        <v>0</v>
      </c>
      <c r="U96" s="84"/>
      <c r="V96" s="84"/>
    </row>
    <row r="97" spans="1:22" x14ac:dyDescent="0.25">
      <c r="A97" s="275">
        <v>101</v>
      </c>
      <c r="B97" s="71">
        <f>'Salida Prod'!B97</f>
        <v>0</v>
      </c>
      <c r="C97" s="66">
        <f>IF('Entrada Prod (semanal)'!K89&gt;0,'Entrada Prod (semanal)'!K89,IF('Entrada Prod (semanal)'!L89&gt;0,'Entrada Prod (semanal)'!L89*7*B97/1000, ))</f>
        <v>0</v>
      </c>
      <c r="D97" s="151">
        <f>IF('Entrada Prod (semanal)'!L89&gt;0,'Entrada Prod (semanal)'!L89,IF('Entrada Prod (semanal)'!K89&gt;0,'Entrada Prod (semanal)'!K89*1000/7/B97, ))</f>
        <v>0</v>
      </c>
      <c r="E97" s="78">
        <f>IF(C97&gt;0,SUM(C$11:C97), )</f>
        <v>0</v>
      </c>
      <c r="F97" s="81">
        <f>IF('Entrada Prod (semanal)'!N89&gt;0,'Entrada Prod (semanal)'!N89,IF('Entrada Prod (semanal)'!M89&gt;0,'Entrada Prod (semanal)'!M89*1000/7/B97, ))</f>
        <v>0</v>
      </c>
      <c r="G97" s="99">
        <f t="shared" si="14"/>
        <v>0</v>
      </c>
      <c r="H97" s="153">
        <f>IF($J$7&gt;0,IF('Entrada Prod (semanal)'!I89&gt;0,C97/('Salida Prod'!X97*$J$7*('Salida Prod'!K97/100))*10, ), )</f>
        <v>0</v>
      </c>
      <c r="I97" s="154">
        <f>IF($J$7&gt;0,IF('Entrada Prod (semanal)'!I89&gt;0,E97/('Salida Prod'!H97*$J$7*('Salida Prod'!M97/100))*10, ), )</f>
        <v>0</v>
      </c>
      <c r="J97" s="81">
        <f>IF(ISNUMBER('Entrada Prod (semanal)'!J89),'Entrada Prod (semanal)'!J89/10,"")</f>
        <v>0</v>
      </c>
      <c r="K97" s="370"/>
      <c r="L97" s="176">
        <f>IF(ISNUMBER('Entrada Prod (semanal)'!O89),'Entrada Prod (semanal)'!O89,"")</f>
        <v>0</v>
      </c>
      <c r="M97" s="348">
        <f t="shared" si="15"/>
        <v>0</v>
      </c>
      <c r="N97" s="349">
        <f t="shared" si="16"/>
        <v>0</v>
      </c>
      <c r="O97" s="350">
        <f t="shared" si="10"/>
        <v>0</v>
      </c>
      <c r="P97" s="351">
        <f t="shared" si="12"/>
        <v>0</v>
      </c>
      <c r="Q97" s="351">
        <f t="shared" si="13"/>
        <v>0</v>
      </c>
      <c r="U97" s="84"/>
      <c r="V97" s="84"/>
    </row>
    <row r="98" spans="1:22" x14ac:dyDescent="0.25">
      <c r="A98" s="275">
        <v>102</v>
      </c>
      <c r="B98" s="71">
        <f>'Salida Prod'!B98</f>
        <v>0</v>
      </c>
      <c r="C98" s="66">
        <f>IF('Entrada Prod (semanal)'!K90&gt;0,'Entrada Prod (semanal)'!K90,IF('Entrada Prod (semanal)'!L90&gt;0,'Entrada Prod (semanal)'!L90*7*B98/1000, ))</f>
        <v>0</v>
      </c>
      <c r="D98" s="151">
        <f>IF('Entrada Prod (semanal)'!L90&gt;0,'Entrada Prod (semanal)'!L90,IF('Entrada Prod (semanal)'!K90&gt;0,'Entrada Prod (semanal)'!K90*1000/7/B98, ))</f>
        <v>0</v>
      </c>
      <c r="E98" s="78">
        <f>IF(C98&gt;0,SUM(C$11:C98), )</f>
        <v>0</v>
      </c>
      <c r="F98" s="81">
        <f>IF('Entrada Prod (semanal)'!N90&gt;0,'Entrada Prod (semanal)'!N90,IF('Entrada Prod (semanal)'!M90&gt;0,'Entrada Prod (semanal)'!M90*1000/7/B98, ))</f>
        <v>0</v>
      </c>
      <c r="G98" s="99">
        <f t="shared" si="14"/>
        <v>0</v>
      </c>
      <c r="H98" s="153">
        <f>IF($J$7&gt;0,IF('Entrada Prod (semanal)'!I90&gt;0,C98/('Salida Prod'!X98*$J$7*('Salida Prod'!K98/100))*10, ), )</f>
        <v>0</v>
      </c>
      <c r="I98" s="154">
        <f>IF($J$7&gt;0,IF('Entrada Prod (semanal)'!I90&gt;0,E98/('Salida Prod'!H98*$J$7*('Salida Prod'!M98/100))*10, ), )</f>
        <v>0</v>
      </c>
      <c r="J98" s="81">
        <f>IF(ISNUMBER('Entrada Prod (semanal)'!J90),'Entrada Prod (semanal)'!J90/10,"")</f>
        <v>0</v>
      </c>
      <c r="K98" s="370"/>
      <c r="L98" s="176">
        <f>IF(ISNUMBER('Entrada Prod (semanal)'!O90),'Entrada Prod (semanal)'!O90,"")</f>
        <v>0</v>
      </c>
      <c r="M98" s="348">
        <f t="shared" si="15"/>
        <v>0</v>
      </c>
      <c r="N98" s="349">
        <f t="shared" si="16"/>
        <v>0</v>
      </c>
      <c r="O98" s="350">
        <f t="shared" si="10"/>
        <v>0</v>
      </c>
      <c r="P98" s="351">
        <f t="shared" si="12"/>
        <v>0</v>
      </c>
      <c r="Q98" s="351">
        <f t="shared" si="13"/>
        <v>0</v>
      </c>
      <c r="U98" s="84"/>
      <c r="V98" s="84"/>
    </row>
    <row r="99" spans="1:22" x14ac:dyDescent="0.25">
      <c r="A99" s="275">
        <v>103</v>
      </c>
      <c r="B99" s="71">
        <f>'Salida Prod'!B99</f>
        <v>0</v>
      </c>
      <c r="C99" s="66">
        <f>IF('Entrada Prod (semanal)'!K91&gt;0,'Entrada Prod (semanal)'!K91,IF('Entrada Prod (semanal)'!L91&gt;0,'Entrada Prod (semanal)'!L91*7*B99/1000, ))</f>
        <v>0</v>
      </c>
      <c r="D99" s="151">
        <f>IF('Entrada Prod (semanal)'!L91&gt;0,'Entrada Prod (semanal)'!L91,IF('Entrada Prod (semanal)'!K91&gt;0,'Entrada Prod (semanal)'!K91*1000/7/B99, ))</f>
        <v>0</v>
      </c>
      <c r="E99" s="78">
        <f>IF(C99&gt;0,SUM(C$11:C99), )</f>
        <v>0</v>
      </c>
      <c r="F99" s="81">
        <f>IF('Entrada Prod (semanal)'!N91&gt;0,'Entrada Prod (semanal)'!N91,IF('Entrada Prod (semanal)'!M91&gt;0,'Entrada Prod (semanal)'!M91*1000/7/B99, ))</f>
        <v>0</v>
      </c>
      <c r="G99" s="99">
        <f t="shared" si="14"/>
        <v>0</v>
      </c>
      <c r="H99" s="153">
        <f>IF($J$7&gt;0,IF('Entrada Prod (semanal)'!I91&gt;0,C99/('Salida Prod'!X99*$J$7*('Salida Prod'!K99/100))*10, ), )</f>
        <v>0</v>
      </c>
      <c r="I99" s="154">
        <f>IF($J$7&gt;0,IF('Entrada Prod (semanal)'!I91&gt;0,E99/('Salida Prod'!H99*$J$7*('Salida Prod'!M99/100))*10, ), )</f>
        <v>0</v>
      </c>
      <c r="J99" s="81">
        <f>IF(ISNUMBER('Entrada Prod (semanal)'!J91),'Entrada Prod (semanal)'!J91/10,"")</f>
        <v>0</v>
      </c>
      <c r="K99" s="370"/>
      <c r="L99" s="176">
        <f>IF(ISNUMBER('Entrada Prod (semanal)'!O91),'Entrada Prod (semanal)'!O91,"")</f>
        <v>0</v>
      </c>
      <c r="M99" s="348">
        <f t="shared" si="15"/>
        <v>0</v>
      </c>
      <c r="N99" s="349">
        <f t="shared" si="16"/>
        <v>0</v>
      </c>
      <c r="O99" s="350">
        <f t="shared" si="10"/>
        <v>0</v>
      </c>
      <c r="P99" s="351">
        <f t="shared" si="12"/>
        <v>0</v>
      </c>
      <c r="Q99" s="351">
        <f t="shared" si="13"/>
        <v>0</v>
      </c>
      <c r="U99" s="84"/>
      <c r="V99" s="84"/>
    </row>
    <row r="100" spans="1:22" x14ac:dyDescent="0.25">
      <c r="A100" s="276">
        <v>104</v>
      </c>
      <c r="B100" s="69">
        <f>'Salida Prod'!B100</f>
        <v>0</v>
      </c>
      <c r="C100" s="97">
        <f>IF('Entrada Prod (semanal)'!K92&gt;0,'Entrada Prod (semanal)'!K92,IF('Entrada Prod (semanal)'!L92&gt;0,'Entrada Prod (semanal)'!L92*7*B100/1000, ))</f>
        <v>0</v>
      </c>
      <c r="D100" s="112">
        <f>IF('Entrada Prod (semanal)'!L92&gt;0,'Entrada Prod (semanal)'!L92,IF('Entrada Prod (semanal)'!K92&gt;0,'Entrada Prod (semanal)'!K92*1000/7/B100, ))</f>
        <v>0</v>
      </c>
      <c r="E100" s="68">
        <f>IF(C100&gt;0,SUM(C$11:C100), )</f>
        <v>0</v>
      </c>
      <c r="F100" s="82">
        <f>IF('Entrada Prod (semanal)'!N92&gt;0,'Entrada Prod (semanal)'!N92,IF('Entrada Prod (semanal)'!M92&gt;0,'Entrada Prod (semanal)'!M92*1000/7/B100, ))</f>
        <v>0</v>
      </c>
      <c r="G100" s="100">
        <f t="shared" si="14"/>
        <v>0</v>
      </c>
      <c r="H100" s="155">
        <f>IF($J$7&gt;0,IF('Entrada Prod (semanal)'!I92&gt;0,C100/('Salida Prod'!X100*$J$7*('Salida Prod'!K100/100))*10, ), )</f>
        <v>0</v>
      </c>
      <c r="I100" s="105">
        <f>IF($J$7&gt;0,IF('Entrada Prod (semanal)'!I92&gt;0,E100/('Salida Prod'!H100*$J$7*('Salida Prod'!M100/100))*10, ), )</f>
        <v>0</v>
      </c>
      <c r="J100" s="82">
        <f>IF(ISNUMBER('Entrada Prod (semanal)'!J92),'Entrada Prod (semanal)'!J92/10,"")</f>
        <v>0</v>
      </c>
      <c r="K100" s="371"/>
      <c r="L100" s="177">
        <f>IF(ISNUMBER('Entrada Prod (semanal)'!O92),'Entrada Prod (semanal)'!O92,"")</f>
        <v>0</v>
      </c>
      <c r="M100" s="348">
        <f t="shared" si="15"/>
        <v>0</v>
      </c>
      <c r="N100" s="349">
        <f t="shared" si="16"/>
        <v>0</v>
      </c>
      <c r="O100" s="350">
        <f t="shared" si="10"/>
        <v>0</v>
      </c>
      <c r="P100" s="351">
        <f t="shared" si="12"/>
        <v>0</v>
      </c>
      <c r="Q100" s="351">
        <f t="shared" si="13"/>
        <v>0</v>
      </c>
      <c r="U100" s="84"/>
      <c r="V100" s="84"/>
    </row>
    <row r="101" spans="1:22" x14ac:dyDescent="0.25">
      <c r="A101" s="275">
        <v>105</v>
      </c>
      <c r="B101" s="71">
        <f>'Salida Prod'!B101</f>
        <v>0</v>
      </c>
      <c r="C101" s="66">
        <f>IF('Entrada Prod (semanal)'!K93&gt;0,'Entrada Prod (semanal)'!K93,IF('Entrada Prod (semanal)'!L93&gt;0,'Entrada Prod (semanal)'!L93*7*B101/1000, ))</f>
        <v>0</v>
      </c>
      <c r="D101" s="151">
        <f>IF('Entrada Prod (semanal)'!L93&gt;0,'Entrada Prod (semanal)'!L93,IF('Entrada Prod (semanal)'!K93&gt;0,'Entrada Prod (semanal)'!K93*1000/7/B101, ))</f>
        <v>0</v>
      </c>
      <c r="E101" s="78">
        <f>IF(C101&gt;0,SUM(C$11:C101), )</f>
        <v>0</v>
      </c>
      <c r="F101" s="81">
        <f>IF('Entrada Prod (semanal)'!N93&gt;0,'Entrada Prod (semanal)'!N93,IF('Entrada Prod (semanal)'!M93&gt;0,'Entrada Prod (semanal)'!M93*1000/7/B101, ))</f>
        <v>0</v>
      </c>
      <c r="G101" s="99">
        <f t="shared" si="14"/>
        <v>0</v>
      </c>
      <c r="H101" s="153">
        <f>IF($J$7&gt;0,IF('Entrada Prod (semanal)'!I93&gt;0,C101/('Salida Prod'!X101*$J$7*('Salida Prod'!K101/100))*10, ), )</f>
        <v>0</v>
      </c>
      <c r="I101" s="154">
        <f>IF($J$7&gt;0,IF('Entrada Prod (semanal)'!I93&gt;0,E101/('Salida Prod'!H101*$J$7*('Salida Prod'!M101/100))*10, ), )</f>
        <v>0</v>
      </c>
      <c r="J101" s="81">
        <f>IF(ISNUMBER('Entrada Prod (semanal)'!J93),'Entrada Prod (semanal)'!J93/10,"")</f>
        <v>0</v>
      </c>
      <c r="K101" s="370"/>
      <c r="L101" s="176">
        <f>IF(ISNUMBER('Entrada Prod (semanal)'!O93),'Entrada Prod (semanal)'!O93,"")</f>
        <v>0</v>
      </c>
      <c r="M101" s="348">
        <f t="shared" si="15"/>
        <v>0</v>
      </c>
      <c r="N101" s="349">
        <f t="shared" si="16"/>
        <v>0</v>
      </c>
      <c r="O101" s="350">
        <f t="shared" si="10"/>
        <v>0</v>
      </c>
      <c r="P101" s="351">
        <f t="shared" si="12"/>
        <v>0</v>
      </c>
      <c r="Q101" s="351">
        <f t="shared" si="13"/>
        <v>0</v>
      </c>
      <c r="U101" s="84"/>
      <c r="V101" s="84"/>
    </row>
    <row r="102" spans="1:22" x14ac:dyDescent="0.25">
      <c r="A102" s="275">
        <v>106</v>
      </c>
      <c r="B102" s="71">
        <f>'Salida Prod'!B102</f>
        <v>0</v>
      </c>
      <c r="C102" s="66">
        <f>IF('Entrada Prod (semanal)'!K94&gt;0,'Entrada Prod (semanal)'!K94,IF('Entrada Prod (semanal)'!L94&gt;0,'Entrada Prod (semanal)'!L94*7*B102/1000, ))</f>
        <v>0</v>
      </c>
      <c r="D102" s="151">
        <f>IF('Entrada Prod (semanal)'!L94&gt;0,'Entrada Prod (semanal)'!L94,IF('Entrada Prod (semanal)'!K94&gt;0,'Entrada Prod (semanal)'!K94*1000/7/B102, ))</f>
        <v>0</v>
      </c>
      <c r="E102" s="78">
        <f>IF(C102&gt;0,SUM(C$11:C102), )</f>
        <v>0</v>
      </c>
      <c r="F102" s="81">
        <f>IF('Entrada Prod (semanal)'!N94&gt;0,'Entrada Prod (semanal)'!N94,IF('Entrada Prod (semanal)'!M94&gt;0,'Entrada Prod (semanal)'!M94*1000/7/B102, ))</f>
        <v>0</v>
      </c>
      <c r="G102" s="99">
        <f t="shared" si="14"/>
        <v>0</v>
      </c>
      <c r="H102" s="153">
        <f>IF($J$7&gt;0,IF('Entrada Prod (semanal)'!I94&gt;0,C102/('Salida Prod'!X102*$J$7*('Salida Prod'!K102/100))*10, ), )</f>
        <v>0</v>
      </c>
      <c r="I102" s="154">
        <f>IF($J$7&gt;0,IF('Entrada Prod (semanal)'!I94&gt;0,E102/('Salida Prod'!H102*$J$7*('Salida Prod'!M102/100))*10, ), )</f>
        <v>0</v>
      </c>
      <c r="J102" s="81">
        <f>IF(ISNUMBER('Entrada Prod (semanal)'!J94),'Entrada Prod (semanal)'!J94/10,"")</f>
        <v>0</v>
      </c>
      <c r="K102" s="370"/>
      <c r="L102" s="176">
        <f>IF(ISNUMBER('Entrada Prod (semanal)'!O94),'Entrada Prod (semanal)'!O94,"")</f>
        <v>0</v>
      </c>
      <c r="M102" s="348">
        <f t="shared" si="15"/>
        <v>0</v>
      </c>
      <c r="N102" s="349">
        <f t="shared" si="16"/>
        <v>0</v>
      </c>
      <c r="O102" s="350">
        <f t="shared" si="10"/>
        <v>0</v>
      </c>
      <c r="P102" s="351">
        <f t="shared" si="12"/>
        <v>0</v>
      </c>
      <c r="Q102" s="351">
        <f t="shared" si="13"/>
        <v>0</v>
      </c>
      <c r="U102" s="84"/>
      <c r="V102" s="84"/>
    </row>
    <row r="103" spans="1:22" x14ac:dyDescent="0.25">
      <c r="A103" s="275">
        <v>107</v>
      </c>
      <c r="B103" s="71">
        <f>'Salida Prod'!B103</f>
        <v>0</v>
      </c>
      <c r="C103" s="66">
        <f>IF('Entrada Prod (semanal)'!K95&gt;0,'Entrada Prod (semanal)'!K95,IF('Entrada Prod (semanal)'!L95&gt;0,'Entrada Prod (semanal)'!L95*7*B103/1000, ))</f>
        <v>0</v>
      </c>
      <c r="D103" s="151">
        <f>IF('Entrada Prod (semanal)'!L95&gt;0,'Entrada Prod (semanal)'!L95,IF('Entrada Prod (semanal)'!K95&gt;0,'Entrada Prod (semanal)'!K95*1000/7/B103, ))</f>
        <v>0</v>
      </c>
      <c r="E103" s="78">
        <f>IF(C103&gt;0,SUM(C$11:C103), )</f>
        <v>0</v>
      </c>
      <c r="F103" s="81">
        <f>IF('Entrada Prod (semanal)'!N95&gt;0,'Entrada Prod (semanal)'!N95,IF('Entrada Prod (semanal)'!M95&gt;0,'Entrada Prod (semanal)'!M95*1000/7/B103, ))</f>
        <v>0</v>
      </c>
      <c r="G103" s="99">
        <f t="shared" si="14"/>
        <v>0</v>
      </c>
      <c r="H103" s="153">
        <f>IF($J$7&gt;0,IF('Entrada Prod (semanal)'!I95&gt;0,C103/('Salida Prod'!X103*$J$7*('Salida Prod'!K103/100))*10, ), )</f>
        <v>0</v>
      </c>
      <c r="I103" s="154">
        <f>IF($J$7&gt;0,IF('Entrada Prod (semanal)'!I95&gt;0,E103/('Salida Prod'!H103*$J$7*('Salida Prod'!M103/100))*10, ), )</f>
        <v>0</v>
      </c>
      <c r="J103" s="81">
        <f>IF(ISNUMBER('Entrada Prod (semanal)'!J95),'Entrada Prod (semanal)'!J95/10,"")</f>
        <v>0</v>
      </c>
      <c r="K103" s="370"/>
      <c r="L103" s="176">
        <f>IF(ISNUMBER('Entrada Prod (semanal)'!O95),'Entrada Prod (semanal)'!O95,"")</f>
        <v>0</v>
      </c>
      <c r="M103" s="348">
        <f t="shared" si="15"/>
        <v>0</v>
      </c>
      <c r="N103" s="349">
        <f t="shared" si="16"/>
        <v>0</v>
      </c>
      <c r="O103" s="350">
        <f t="shared" si="10"/>
        <v>0</v>
      </c>
      <c r="P103" s="351">
        <f t="shared" si="12"/>
        <v>0</v>
      </c>
      <c r="Q103" s="351">
        <f t="shared" si="13"/>
        <v>0</v>
      </c>
      <c r="U103" s="84"/>
      <c r="V103" s="84"/>
    </row>
    <row r="104" spans="1:22" x14ac:dyDescent="0.25">
      <c r="A104" s="276">
        <v>108</v>
      </c>
      <c r="B104" s="69">
        <f>'Salida Prod'!B104</f>
        <v>0</v>
      </c>
      <c r="C104" s="97">
        <f>IF('Entrada Prod (semanal)'!K96&gt;0,'Entrada Prod (semanal)'!K96,IF('Entrada Prod (semanal)'!L96&gt;0,'Entrada Prod (semanal)'!L96*7*B104/1000, ))</f>
        <v>0</v>
      </c>
      <c r="D104" s="112">
        <f>IF('Entrada Prod (semanal)'!L96&gt;0,'Entrada Prod (semanal)'!L96,IF('Entrada Prod (semanal)'!K96&gt;0,'Entrada Prod (semanal)'!K96*1000/7/B104, ))</f>
        <v>0</v>
      </c>
      <c r="E104" s="68">
        <f>IF(C104&gt;0,SUM(C$11:C104), )</f>
        <v>0</v>
      </c>
      <c r="F104" s="82">
        <f>IF('Entrada Prod (semanal)'!N96&gt;0,'Entrada Prod (semanal)'!N96,IF('Entrada Prod (semanal)'!M96&gt;0,'Entrada Prod (semanal)'!M96*1000/7/B104, ))</f>
        <v>0</v>
      </c>
      <c r="G104" s="100">
        <f t="shared" si="14"/>
        <v>0</v>
      </c>
      <c r="H104" s="155">
        <f>IF($J$7&gt;0,IF('Entrada Prod (semanal)'!I96&gt;0,C104/('Salida Prod'!X104*$J$7*('Salida Prod'!K104/100))*10, ), )</f>
        <v>0</v>
      </c>
      <c r="I104" s="105">
        <f>IF($J$7&gt;0,IF('Entrada Prod (semanal)'!I96&gt;0,E104/('Salida Prod'!H104*$J$7*('Salida Prod'!M104/100))*10, ), )</f>
        <v>0</v>
      </c>
      <c r="J104" s="82">
        <f>IF(ISNUMBER('Entrada Prod (semanal)'!J96),'Entrada Prod (semanal)'!J96/10,"")</f>
        <v>0</v>
      </c>
      <c r="K104" s="371"/>
      <c r="L104" s="177">
        <f>IF(ISNUMBER('Entrada Prod (semanal)'!O96),'Entrada Prod (semanal)'!O96,"")</f>
        <v>0</v>
      </c>
      <c r="M104" s="348">
        <f t="shared" si="15"/>
        <v>0</v>
      </c>
      <c r="N104" s="349">
        <f t="shared" si="16"/>
        <v>0</v>
      </c>
      <c r="O104" s="350">
        <f t="shared" si="10"/>
        <v>0</v>
      </c>
      <c r="P104" s="351">
        <f t="shared" si="12"/>
        <v>0</v>
      </c>
      <c r="Q104" s="351">
        <f t="shared" si="13"/>
        <v>0</v>
      </c>
      <c r="U104" s="84"/>
      <c r="V104" s="84"/>
    </row>
    <row r="105" spans="1:22" x14ac:dyDescent="0.25">
      <c r="A105" s="275">
        <v>109</v>
      </c>
      <c r="B105" s="71">
        <f>'Salida Prod'!B105</f>
        <v>0</v>
      </c>
      <c r="C105" s="66">
        <f>IF('Entrada Prod (semanal)'!K97&gt;0,'Entrada Prod (semanal)'!K97,IF('Entrada Prod (semanal)'!L97&gt;0,'Entrada Prod (semanal)'!L97*7*B105/1000, ))</f>
        <v>0</v>
      </c>
      <c r="D105" s="151">
        <f>IF('Entrada Prod (semanal)'!L97&gt;0,'Entrada Prod (semanal)'!L97,IF('Entrada Prod (semanal)'!K97&gt;0,'Entrada Prod (semanal)'!K97*1000/7/B105, ))</f>
        <v>0</v>
      </c>
      <c r="E105" s="78">
        <f>IF(C105&gt;0,SUM(C$11:C105), )</f>
        <v>0</v>
      </c>
      <c r="F105" s="81">
        <f>IF('Entrada Prod (semanal)'!N97&gt;0,'Entrada Prod (semanal)'!N97,IF('Entrada Prod (semanal)'!M97&gt;0,'Entrada Prod (semanal)'!M97*1000/7/B105, ))</f>
        <v>0</v>
      </c>
      <c r="G105" s="99">
        <f t="shared" si="14"/>
        <v>0</v>
      </c>
      <c r="H105" s="153">
        <f>IF($J$7&gt;0,IF('Entrada Prod (semanal)'!I97&gt;0,C105/('Salida Prod'!X105*$J$7*('Salida Prod'!K105/100))*10, ), )</f>
        <v>0</v>
      </c>
      <c r="I105" s="154">
        <f>IF($J$7&gt;0,IF('Entrada Prod (semanal)'!I97&gt;0,E105/('Salida Prod'!H105*$J$7*('Salida Prod'!M105/100))*10, ), )</f>
        <v>0</v>
      </c>
      <c r="J105" s="81">
        <f>IF(ISNUMBER('Entrada Prod (semanal)'!J97),'Entrada Prod (semanal)'!J97/10,"")</f>
        <v>0</v>
      </c>
      <c r="K105" s="370"/>
      <c r="L105" s="176">
        <f>IF(ISNUMBER('Entrada Prod (semanal)'!O97),'Entrada Prod (semanal)'!O97,"")</f>
        <v>0</v>
      </c>
      <c r="M105" s="348">
        <f t="shared" si="15"/>
        <v>0</v>
      </c>
      <c r="N105" s="349">
        <f t="shared" si="16"/>
        <v>0</v>
      </c>
      <c r="O105" s="350">
        <f t="shared" si="10"/>
        <v>0</v>
      </c>
      <c r="P105" s="351">
        <f t="shared" si="12"/>
        <v>0</v>
      </c>
      <c r="Q105" s="351">
        <f t="shared" si="13"/>
        <v>0</v>
      </c>
      <c r="U105" s="84"/>
      <c r="V105" s="84"/>
    </row>
    <row r="106" spans="1:22" x14ac:dyDescent="0.25">
      <c r="A106" s="275">
        <v>110</v>
      </c>
      <c r="B106" s="71">
        <f>'Salida Prod'!B106</f>
        <v>0</v>
      </c>
      <c r="C106" s="66">
        <f>IF('Entrada Prod (semanal)'!K98&gt;0,'Entrada Prod (semanal)'!K98,IF('Entrada Prod (semanal)'!L98&gt;0,'Entrada Prod (semanal)'!L98*7*B106/1000, ))</f>
        <v>0</v>
      </c>
      <c r="D106" s="151">
        <f>IF('Entrada Prod (semanal)'!L98&gt;0,'Entrada Prod (semanal)'!L98,IF('Entrada Prod (semanal)'!K98&gt;0,'Entrada Prod (semanal)'!K98*1000/7/B106, ))</f>
        <v>0</v>
      </c>
      <c r="E106" s="78">
        <f>IF(C106&gt;0,SUM(C$11:C106), )</f>
        <v>0</v>
      </c>
      <c r="F106" s="81">
        <f>IF('Entrada Prod (semanal)'!N98&gt;0,'Entrada Prod (semanal)'!N98,IF('Entrada Prod (semanal)'!M98&gt;0,'Entrada Prod (semanal)'!M98*1000/7/B106, ))</f>
        <v>0</v>
      </c>
      <c r="G106" s="99">
        <f t="shared" si="14"/>
        <v>0</v>
      </c>
      <c r="H106" s="153">
        <f>IF($J$7&gt;0,IF('Entrada Prod (semanal)'!I98&gt;0,C106/('Salida Prod'!X106*$J$7*('Salida Prod'!K106/100))*10, ), )</f>
        <v>0</v>
      </c>
      <c r="I106" s="154">
        <f>IF($J$7&gt;0,IF('Entrada Prod (semanal)'!I98&gt;0,E106/('Salida Prod'!H106*$J$7*('Salida Prod'!M106/100))*10, ), )</f>
        <v>0</v>
      </c>
      <c r="J106" s="81">
        <f>IF(ISNUMBER('Entrada Prod (semanal)'!J98),'Entrada Prod (semanal)'!J98/10,"")</f>
        <v>0</v>
      </c>
      <c r="K106" s="370"/>
      <c r="L106" s="176">
        <f>IF(ISNUMBER('Entrada Prod (semanal)'!O98),'Entrada Prod (semanal)'!O98,"")</f>
        <v>0</v>
      </c>
      <c r="M106" s="348">
        <f t="shared" si="15"/>
        <v>0</v>
      </c>
      <c r="N106" s="349">
        <f t="shared" si="16"/>
        <v>0</v>
      </c>
      <c r="O106" s="350">
        <f t="shared" si="10"/>
        <v>0</v>
      </c>
      <c r="P106" s="351">
        <f t="shared" si="12"/>
        <v>0</v>
      </c>
      <c r="Q106" s="351">
        <f t="shared" si="13"/>
        <v>0</v>
      </c>
      <c r="U106" s="84"/>
      <c r="V106" s="84"/>
    </row>
    <row r="107" spans="1:22" x14ac:dyDescent="0.25">
      <c r="A107" s="275">
        <v>111</v>
      </c>
      <c r="B107" s="71">
        <f>'Salida Prod'!B107</f>
        <v>0</v>
      </c>
      <c r="C107" s="66">
        <f>IF('Entrada Prod (semanal)'!K99&gt;0,'Entrada Prod (semanal)'!K99,IF('Entrada Prod (semanal)'!L99&gt;0,'Entrada Prod (semanal)'!L99*7*B107/1000, ))</f>
        <v>0</v>
      </c>
      <c r="D107" s="151">
        <f>IF('Entrada Prod (semanal)'!L99&gt;0,'Entrada Prod (semanal)'!L99,IF('Entrada Prod (semanal)'!K99&gt;0,'Entrada Prod (semanal)'!K99*1000/7/B107, ))</f>
        <v>0</v>
      </c>
      <c r="E107" s="78">
        <f>IF(C107&gt;0,SUM(C$11:C107), )</f>
        <v>0</v>
      </c>
      <c r="F107" s="81">
        <f>IF('Entrada Prod (semanal)'!N99&gt;0,'Entrada Prod (semanal)'!N99,IF('Entrada Prod (semanal)'!M99&gt;0,'Entrada Prod (semanal)'!M99*1000/7/B107, ))</f>
        <v>0</v>
      </c>
      <c r="G107" s="99">
        <f t="shared" si="14"/>
        <v>0</v>
      </c>
      <c r="H107" s="153">
        <f>IF($J$7&gt;0,IF('Entrada Prod (semanal)'!I99&gt;0,C107/('Salida Prod'!X107*$J$7*('Salida Prod'!K107/100))*10, ), )</f>
        <v>0</v>
      </c>
      <c r="I107" s="154">
        <f>IF($J$7&gt;0,IF('Entrada Prod (semanal)'!I99&gt;0,E107/('Salida Prod'!H107*$J$7*('Salida Prod'!M107/100))*10, ), )</f>
        <v>0</v>
      </c>
      <c r="J107" s="81">
        <f>IF(ISNUMBER('Entrada Prod (semanal)'!J99),'Entrada Prod (semanal)'!J99/10,"")</f>
        <v>0</v>
      </c>
      <c r="K107" s="370"/>
      <c r="L107" s="176">
        <f>IF(ISNUMBER('Entrada Prod (semanal)'!O99),'Entrada Prod (semanal)'!O99,"")</f>
        <v>0</v>
      </c>
      <c r="M107" s="348">
        <f t="shared" si="15"/>
        <v>0</v>
      </c>
      <c r="N107" s="349">
        <f t="shared" si="16"/>
        <v>0</v>
      </c>
      <c r="O107" s="350">
        <f t="shared" ref="O107:O116" si="17">N107-M107</f>
        <v>0</v>
      </c>
      <c r="P107" s="351">
        <f t="shared" si="12"/>
        <v>0</v>
      </c>
      <c r="Q107" s="351">
        <f t="shared" si="13"/>
        <v>0</v>
      </c>
      <c r="U107" s="84"/>
      <c r="V107" s="84"/>
    </row>
    <row r="108" spans="1:22" x14ac:dyDescent="0.25">
      <c r="A108" s="276">
        <v>112</v>
      </c>
      <c r="B108" s="69">
        <f>'Salida Prod'!B108</f>
        <v>0</v>
      </c>
      <c r="C108" s="97">
        <f>IF('Entrada Prod (semanal)'!K100&gt;0,'Entrada Prod (semanal)'!K100,IF('Entrada Prod (semanal)'!L100&gt;0,'Entrada Prod (semanal)'!L100*7*B108/1000, ))</f>
        <v>0</v>
      </c>
      <c r="D108" s="112">
        <f>IF('Entrada Prod (semanal)'!L100&gt;0,'Entrada Prod (semanal)'!L100,IF('Entrada Prod (semanal)'!K100&gt;0,'Entrada Prod (semanal)'!K100*1000/7/B108, ))</f>
        <v>0</v>
      </c>
      <c r="E108" s="68">
        <f>IF(C108&gt;0,SUM(C$11:C108), )</f>
        <v>0</v>
      </c>
      <c r="F108" s="82">
        <f>IF('Entrada Prod (semanal)'!N100&gt;0,'Entrada Prod (semanal)'!N100,IF('Entrada Prod (semanal)'!M100&gt;0,'Entrada Prod (semanal)'!M100*1000/7/B108, ))</f>
        <v>0</v>
      </c>
      <c r="G108" s="100">
        <f t="shared" ref="G108:G116" si="18">IF(D108&gt;0,IF(F108&gt;0,F108/D108, ), )</f>
        <v>0</v>
      </c>
      <c r="H108" s="155">
        <f>IF($J$7&gt;0,IF('Entrada Prod (semanal)'!I100&gt;0,C108/('Salida Prod'!X108*$J$7*('Salida Prod'!K108/100))*10, ), )</f>
        <v>0</v>
      </c>
      <c r="I108" s="105">
        <f>IF($J$7&gt;0,IF('Entrada Prod (semanal)'!I100&gt;0,E108/('Salida Prod'!H108*$J$7*('Salida Prod'!M108/100))*10, ), )</f>
        <v>0</v>
      </c>
      <c r="J108" s="82">
        <f>IF(ISNUMBER('Entrada Prod (semanal)'!J100),'Entrada Prod (semanal)'!J100/10,"")</f>
        <v>0</v>
      </c>
      <c r="K108" s="371"/>
      <c r="L108" s="177">
        <f>IF(ISNUMBER('Entrada Prod (semanal)'!O100),'Entrada Prod (semanal)'!O100,"")</f>
        <v>0</v>
      </c>
      <c r="M108" s="348">
        <f t="shared" si="15"/>
        <v>0</v>
      </c>
      <c r="N108" s="349">
        <f t="shared" si="16"/>
        <v>0</v>
      </c>
      <c r="O108" s="350">
        <f t="shared" si="17"/>
        <v>0</v>
      </c>
      <c r="P108" s="351">
        <f t="shared" ref="P108:P116" si="19">IF(H108&gt;0,H108,P107)</f>
        <v>0</v>
      </c>
      <c r="Q108" s="351">
        <f t="shared" ref="Q108:Q116" si="20">IF(I108&gt;0,I108,Q107)</f>
        <v>0</v>
      </c>
      <c r="U108" s="84"/>
      <c r="V108" s="84"/>
    </row>
    <row r="109" spans="1:22" x14ac:dyDescent="0.25">
      <c r="A109" s="275">
        <v>113</v>
      </c>
      <c r="B109" s="71">
        <f>'Salida Prod'!B109</f>
        <v>0</v>
      </c>
      <c r="C109" s="66">
        <f>IF('Entrada Prod (semanal)'!K101&gt;0,'Entrada Prod (semanal)'!K101,IF('Entrada Prod (semanal)'!L101&gt;0,'Entrada Prod (semanal)'!L101*7*B109/1000, ))</f>
        <v>0</v>
      </c>
      <c r="D109" s="151">
        <f>IF('Entrada Prod (semanal)'!L101&gt;0,'Entrada Prod (semanal)'!L101,IF('Entrada Prod (semanal)'!K101&gt;0,'Entrada Prod (semanal)'!K101*1000/7/B109, ))</f>
        <v>0</v>
      </c>
      <c r="E109" s="78">
        <f>IF(C109&gt;0,SUM(C$11:C109), )</f>
        <v>0</v>
      </c>
      <c r="F109" s="81">
        <f>IF('Entrada Prod (semanal)'!N101&gt;0,'Entrada Prod (semanal)'!N101,IF('Entrada Prod (semanal)'!M101&gt;0,'Entrada Prod (semanal)'!M101*1000/7/B109, ))</f>
        <v>0</v>
      </c>
      <c r="G109" s="99">
        <f t="shared" si="18"/>
        <v>0</v>
      </c>
      <c r="H109" s="153">
        <f>IF($J$7&gt;0,IF('Entrada Prod (semanal)'!I101&gt;0,C109/('Salida Prod'!X109*$J$7*('Salida Prod'!K109/100))*10, ), )</f>
        <v>0</v>
      </c>
      <c r="I109" s="154">
        <f>IF($J$7&gt;0,IF('Entrada Prod (semanal)'!I101&gt;0,E109/('Salida Prod'!H109*$J$7*('Salida Prod'!M109/100))*10, ), )</f>
        <v>0</v>
      </c>
      <c r="J109" s="81">
        <f>IF(ISNUMBER('Entrada Prod (semanal)'!J101),'Entrada Prod (semanal)'!J101/10,"")</f>
        <v>0</v>
      </c>
      <c r="K109" s="370"/>
      <c r="L109" s="176">
        <f>IF(ISNUMBER('Entrada Prod (semanal)'!O101),'Entrada Prod (semanal)'!O101,"")</f>
        <v>0</v>
      </c>
      <c r="M109" s="348">
        <f t="shared" si="15"/>
        <v>0</v>
      </c>
      <c r="N109" s="349">
        <f t="shared" si="16"/>
        <v>0</v>
      </c>
      <c r="O109" s="350">
        <f t="shared" si="17"/>
        <v>0</v>
      </c>
      <c r="P109" s="351">
        <f t="shared" si="19"/>
        <v>0</v>
      </c>
      <c r="Q109" s="351">
        <f t="shared" si="20"/>
        <v>0</v>
      </c>
      <c r="U109" s="84"/>
      <c r="V109" s="84"/>
    </row>
    <row r="110" spans="1:22" x14ac:dyDescent="0.25">
      <c r="A110" s="275">
        <v>114</v>
      </c>
      <c r="B110" s="71">
        <f>'Salida Prod'!B110</f>
        <v>0</v>
      </c>
      <c r="C110" s="66">
        <f>IF('Entrada Prod (semanal)'!K102&gt;0,'Entrada Prod (semanal)'!K102,IF('Entrada Prod (semanal)'!L102&gt;0,'Entrada Prod (semanal)'!L102*7*B110/1000, ))</f>
        <v>0</v>
      </c>
      <c r="D110" s="151">
        <f>IF('Entrada Prod (semanal)'!L102&gt;0,'Entrada Prod (semanal)'!L102,IF('Entrada Prod (semanal)'!K102&gt;0,'Entrada Prod (semanal)'!K102*1000/7/B110, ))</f>
        <v>0</v>
      </c>
      <c r="E110" s="78">
        <f>IF(C110&gt;0,SUM(C$11:C110), )</f>
        <v>0</v>
      </c>
      <c r="F110" s="81">
        <f>IF('Entrada Prod (semanal)'!N102&gt;0,'Entrada Prod (semanal)'!N102,IF('Entrada Prod (semanal)'!M102&gt;0,'Entrada Prod (semanal)'!M102*1000/7/B110, ))</f>
        <v>0</v>
      </c>
      <c r="G110" s="99">
        <f t="shared" si="18"/>
        <v>0</v>
      </c>
      <c r="H110" s="153">
        <f>IF($J$7&gt;0,IF('Entrada Prod (semanal)'!I102&gt;0,C110/('Salida Prod'!X110*$J$7*('Salida Prod'!K110/100))*10, ), )</f>
        <v>0</v>
      </c>
      <c r="I110" s="154">
        <f>IF($J$7&gt;0,IF('Entrada Prod (semanal)'!I102&gt;0,E110/('Salida Prod'!H110*$J$7*('Salida Prod'!M110/100))*10, ), )</f>
        <v>0</v>
      </c>
      <c r="J110" s="81">
        <f>IF(ISNUMBER('Entrada Prod (semanal)'!J102),'Entrada Prod (semanal)'!J102/10,"")</f>
        <v>0</v>
      </c>
      <c r="K110" s="370"/>
      <c r="L110" s="176">
        <f>IF(ISNUMBER('Entrada Prod (semanal)'!O102),'Entrada Prod (semanal)'!O102,"")</f>
        <v>0</v>
      </c>
      <c r="M110" s="348">
        <f t="shared" si="15"/>
        <v>0</v>
      </c>
      <c r="N110" s="349">
        <f t="shared" si="16"/>
        <v>0</v>
      </c>
      <c r="O110" s="350">
        <f t="shared" si="17"/>
        <v>0</v>
      </c>
      <c r="P110" s="351">
        <f t="shared" si="19"/>
        <v>0</v>
      </c>
      <c r="Q110" s="351">
        <f t="shared" si="20"/>
        <v>0</v>
      </c>
      <c r="U110" s="84"/>
      <c r="V110" s="84"/>
    </row>
    <row r="111" spans="1:22" x14ac:dyDescent="0.25">
      <c r="A111" s="275">
        <v>115</v>
      </c>
      <c r="B111" s="71">
        <f>'Salida Prod'!B111</f>
        <v>0</v>
      </c>
      <c r="C111" s="66">
        <f>IF('Entrada Prod (semanal)'!K103&gt;0,'Entrada Prod (semanal)'!K103,IF('Entrada Prod (semanal)'!L103&gt;0,'Entrada Prod (semanal)'!L103*7*B111/1000, ))</f>
        <v>0</v>
      </c>
      <c r="D111" s="151">
        <f>IF('Entrada Prod (semanal)'!L103&gt;0,'Entrada Prod (semanal)'!L103,IF('Entrada Prod (semanal)'!K103&gt;0,'Entrada Prod (semanal)'!K103*1000/7/B111, ))</f>
        <v>0</v>
      </c>
      <c r="E111" s="78">
        <f>IF(C111&gt;0,SUM(C$11:C111), )</f>
        <v>0</v>
      </c>
      <c r="F111" s="81">
        <f>IF('Entrada Prod (semanal)'!N103&gt;0,'Entrada Prod (semanal)'!N103,IF('Entrada Prod (semanal)'!M103&gt;0,'Entrada Prod (semanal)'!M103*1000/7/B111, ))</f>
        <v>0</v>
      </c>
      <c r="G111" s="99">
        <f t="shared" si="18"/>
        <v>0</v>
      </c>
      <c r="H111" s="153">
        <f>IF($J$7&gt;0,IF('Entrada Prod (semanal)'!I103&gt;0,C111/('Salida Prod'!X111*$J$7*('Salida Prod'!K111/100))*10, ), )</f>
        <v>0</v>
      </c>
      <c r="I111" s="154">
        <f>IF($J$7&gt;0,IF('Entrada Prod (semanal)'!I103&gt;0,E111/('Salida Prod'!H111*$J$7*('Salida Prod'!M111/100))*10, ), )</f>
        <v>0</v>
      </c>
      <c r="J111" s="81">
        <f>IF(ISNUMBER('Entrada Prod (semanal)'!J103),'Entrada Prod (semanal)'!J103/10,"")</f>
        <v>0</v>
      </c>
      <c r="K111" s="370"/>
      <c r="L111" s="176">
        <f>IF(ISNUMBER('Entrada Prod (semanal)'!O103),'Entrada Prod (semanal)'!O103,"")</f>
        <v>0</v>
      </c>
      <c r="M111" s="348">
        <f t="shared" si="15"/>
        <v>0</v>
      </c>
      <c r="N111" s="349">
        <f t="shared" si="16"/>
        <v>0</v>
      </c>
      <c r="O111" s="350">
        <f t="shared" si="17"/>
        <v>0</v>
      </c>
      <c r="P111" s="351">
        <f t="shared" si="19"/>
        <v>0</v>
      </c>
      <c r="Q111" s="351">
        <f t="shared" si="20"/>
        <v>0</v>
      </c>
      <c r="U111" s="84"/>
      <c r="V111" s="84"/>
    </row>
    <row r="112" spans="1:22" x14ac:dyDescent="0.25">
      <c r="A112" s="276">
        <v>116</v>
      </c>
      <c r="B112" s="69">
        <f>'Salida Prod'!B112</f>
        <v>0</v>
      </c>
      <c r="C112" s="97">
        <f>IF('Entrada Prod (semanal)'!K104&gt;0,'Entrada Prod (semanal)'!K104,IF('Entrada Prod (semanal)'!L104&gt;0,'Entrada Prod (semanal)'!L104*7*B112/1000, ))</f>
        <v>0</v>
      </c>
      <c r="D112" s="112">
        <f>IF('Entrada Prod (semanal)'!L104&gt;0,'Entrada Prod (semanal)'!L104,IF('Entrada Prod (semanal)'!K104&gt;0,'Entrada Prod (semanal)'!K104*1000/7/B112, ))</f>
        <v>0</v>
      </c>
      <c r="E112" s="68">
        <f>IF(C112&gt;0,SUM(C$11:C112), )</f>
        <v>0</v>
      </c>
      <c r="F112" s="82">
        <f>IF('Entrada Prod (semanal)'!N104&gt;0,'Entrada Prod (semanal)'!N104,IF('Entrada Prod (semanal)'!M104&gt;0,'Entrada Prod (semanal)'!M104*1000/7/B112, ))</f>
        <v>0</v>
      </c>
      <c r="G112" s="100">
        <f t="shared" si="18"/>
        <v>0</v>
      </c>
      <c r="H112" s="155">
        <f>IF($J$7&gt;0,IF('Entrada Prod (semanal)'!I104&gt;0,C112/('Salida Prod'!X112*$J$7*('Salida Prod'!K112/100))*10, ), )</f>
        <v>0</v>
      </c>
      <c r="I112" s="105">
        <f>IF($J$7&gt;0,IF('Entrada Prod (semanal)'!I104&gt;0,E112/('Salida Prod'!H112*$J$7*('Salida Prod'!M112/100))*10, ), )</f>
        <v>0</v>
      </c>
      <c r="J112" s="82">
        <f>IF(ISNUMBER('Entrada Prod (semanal)'!J104),'Entrada Prod (semanal)'!J104/10,"")</f>
        <v>0</v>
      </c>
      <c r="K112" s="371"/>
      <c r="L112" s="177">
        <f>IF(ISNUMBER('Entrada Prod (semanal)'!O104),'Entrada Prod (semanal)'!O104,"")</f>
        <v>0</v>
      </c>
      <c r="M112" s="348">
        <f t="shared" si="15"/>
        <v>0</v>
      </c>
      <c r="N112" s="349">
        <f t="shared" si="16"/>
        <v>0</v>
      </c>
      <c r="O112" s="350">
        <f t="shared" si="17"/>
        <v>0</v>
      </c>
      <c r="P112" s="351">
        <f t="shared" si="19"/>
        <v>0</v>
      </c>
      <c r="Q112" s="351">
        <f t="shared" si="20"/>
        <v>0</v>
      </c>
      <c r="U112" s="84"/>
      <c r="V112" s="84"/>
    </row>
    <row r="113" spans="1:22" x14ac:dyDescent="0.25">
      <c r="A113" s="275">
        <v>117</v>
      </c>
      <c r="B113" s="71">
        <f>'Salida Prod'!B113</f>
        <v>0</v>
      </c>
      <c r="C113" s="66">
        <f>IF('Entrada Prod (semanal)'!K105&gt;0,'Entrada Prod (semanal)'!K105,IF('Entrada Prod (semanal)'!L105&gt;0,'Entrada Prod (semanal)'!L105*7*B113/1000, ))</f>
        <v>0</v>
      </c>
      <c r="D113" s="151">
        <f>IF('Entrada Prod (semanal)'!L105&gt;0,'Entrada Prod (semanal)'!L105,IF('Entrada Prod (semanal)'!K105&gt;0,'Entrada Prod (semanal)'!K105*1000/7/B113, ))</f>
        <v>0</v>
      </c>
      <c r="E113" s="78">
        <f>IF(C113&gt;0,SUM(C$11:C113), )</f>
        <v>0</v>
      </c>
      <c r="F113" s="81">
        <f>IF('Entrada Prod (semanal)'!N105&gt;0,'Entrada Prod (semanal)'!N105,IF('Entrada Prod (semanal)'!M105&gt;0,'Entrada Prod (semanal)'!M105*1000/7/B113, ))</f>
        <v>0</v>
      </c>
      <c r="G113" s="99">
        <f t="shared" si="18"/>
        <v>0</v>
      </c>
      <c r="H113" s="153">
        <f>IF($J$7&gt;0,IF('Entrada Prod (semanal)'!I105&gt;0,C113/('Salida Prod'!X113*$J$7*('Salida Prod'!K113/100))*10, ), )</f>
        <v>0</v>
      </c>
      <c r="I113" s="154">
        <f>IF($J$7&gt;0,IF('Entrada Prod (semanal)'!I105&gt;0,E113/('Salida Prod'!H113*$J$7*('Salida Prod'!M113/100))*10, ), )</f>
        <v>0</v>
      </c>
      <c r="J113" s="81">
        <f>IF(ISNUMBER('Entrada Prod (semanal)'!J105),'Entrada Prod (semanal)'!J105/10,"")</f>
        <v>0</v>
      </c>
      <c r="K113" s="370"/>
      <c r="L113" s="176">
        <f>IF(ISNUMBER('Entrada Prod (semanal)'!O105),'Entrada Prod (semanal)'!O105,"")</f>
        <v>0</v>
      </c>
      <c r="M113" s="348">
        <f t="shared" si="15"/>
        <v>0</v>
      </c>
      <c r="N113" s="349">
        <f t="shared" si="16"/>
        <v>0</v>
      </c>
      <c r="O113" s="350">
        <f t="shared" si="17"/>
        <v>0</v>
      </c>
      <c r="P113" s="351">
        <f t="shared" si="19"/>
        <v>0</v>
      </c>
      <c r="Q113" s="351">
        <f t="shared" si="20"/>
        <v>0</v>
      </c>
      <c r="U113" s="84"/>
      <c r="V113" s="84"/>
    </row>
    <row r="114" spans="1:22" x14ac:dyDescent="0.25">
      <c r="A114" s="275">
        <v>118</v>
      </c>
      <c r="B114" s="71">
        <f>'Salida Prod'!B114</f>
        <v>0</v>
      </c>
      <c r="C114" s="66">
        <f>IF('Entrada Prod (semanal)'!K106&gt;0,'Entrada Prod (semanal)'!K106,IF('Entrada Prod (semanal)'!L106&gt;0,'Entrada Prod (semanal)'!L106*7*B114/1000, ))</f>
        <v>0</v>
      </c>
      <c r="D114" s="151">
        <f>IF('Entrada Prod (semanal)'!L106&gt;0,'Entrada Prod (semanal)'!L106,IF('Entrada Prod (semanal)'!K106&gt;0,'Entrada Prod (semanal)'!K106*1000/7/B114, ))</f>
        <v>0</v>
      </c>
      <c r="E114" s="78">
        <f>IF(C114&gt;0,SUM(C$11:C114), )</f>
        <v>0</v>
      </c>
      <c r="F114" s="81">
        <f>IF('Entrada Prod (semanal)'!N106&gt;0,'Entrada Prod (semanal)'!N106,IF('Entrada Prod (semanal)'!M106&gt;0,'Entrada Prod (semanal)'!M106*1000/7/B114, ))</f>
        <v>0</v>
      </c>
      <c r="G114" s="99">
        <f t="shared" si="18"/>
        <v>0</v>
      </c>
      <c r="H114" s="153">
        <f>IF($J$7&gt;0,IF('Entrada Prod (semanal)'!I106&gt;0,C114/('Salida Prod'!X114*$J$7*('Salida Prod'!K114/100))*10, ), )</f>
        <v>0</v>
      </c>
      <c r="I114" s="154">
        <f>IF($J$7&gt;0,IF('Entrada Prod (semanal)'!I106&gt;0,E114/('Salida Prod'!H114*$J$7*('Salida Prod'!M114/100))*10, ), )</f>
        <v>0</v>
      </c>
      <c r="J114" s="81">
        <f>IF(ISNUMBER('Entrada Prod (semanal)'!J106),'Entrada Prod (semanal)'!J106/10,"")</f>
        <v>0</v>
      </c>
      <c r="K114" s="370"/>
      <c r="L114" s="176">
        <f>IF(ISNUMBER('Entrada Prod (semanal)'!O106),'Entrada Prod (semanal)'!O106,"")</f>
        <v>0</v>
      </c>
      <c r="M114" s="348">
        <f t="shared" si="15"/>
        <v>0</v>
      </c>
      <c r="N114" s="349">
        <f t="shared" si="16"/>
        <v>0</v>
      </c>
      <c r="O114" s="350">
        <f t="shared" si="17"/>
        <v>0</v>
      </c>
      <c r="P114" s="351">
        <f t="shared" si="19"/>
        <v>0</v>
      </c>
      <c r="Q114" s="351">
        <f t="shared" si="20"/>
        <v>0</v>
      </c>
      <c r="U114" s="84"/>
      <c r="V114" s="84"/>
    </row>
    <row r="115" spans="1:22" x14ac:dyDescent="0.25">
      <c r="A115" s="275">
        <v>119</v>
      </c>
      <c r="B115" s="71">
        <f>'Salida Prod'!B115</f>
        <v>0</v>
      </c>
      <c r="C115" s="66">
        <f>IF('Entrada Prod (semanal)'!K107&gt;0,'Entrada Prod (semanal)'!K107,IF('Entrada Prod (semanal)'!L107&gt;0,'Entrada Prod (semanal)'!L107*7*B115/1000, ))</f>
        <v>0</v>
      </c>
      <c r="D115" s="151">
        <f>IF('Entrada Prod (semanal)'!L107&gt;0,'Entrada Prod (semanal)'!L107,IF('Entrada Prod (semanal)'!K107&gt;0,'Entrada Prod (semanal)'!K107*1000/7/B115, ))</f>
        <v>0</v>
      </c>
      <c r="E115" s="78">
        <f>IF(C115&gt;0,SUM(C$11:C115), )</f>
        <v>0</v>
      </c>
      <c r="F115" s="81">
        <f>IF('Entrada Prod (semanal)'!N107&gt;0,'Entrada Prod (semanal)'!N107,IF('Entrada Prod (semanal)'!M107&gt;0,'Entrada Prod (semanal)'!M107*1000/7/B115, ))</f>
        <v>0</v>
      </c>
      <c r="G115" s="99">
        <f t="shared" si="18"/>
        <v>0</v>
      </c>
      <c r="H115" s="153">
        <f>IF($J$7&gt;0,IF('Entrada Prod (semanal)'!I107&gt;0,C115/('Salida Prod'!X115*$J$7*('Salida Prod'!K115/100))*10, ), )</f>
        <v>0</v>
      </c>
      <c r="I115" s="154">
        <f>IF($J$7&gt;0,IF('Entrada Prod (semanal)'!I107&gt;0,E115/('Salida Prod'!H115*$J$7*('Salida Prod'!M115/100))*10, ), )</f>
        <v>0</v>
      </c>
      <c r="J115" s="81">
        <f>IF(ISNUMBER('Entrada Prod (semanal)'!J107),'Entrada Prod (semanal)'!J107/10,"")</f>
        <v>0</v>
      </c>
      <c r="K115" s="370"/>
      <c r="L115" s="176">
        <f>IF(ISNUMBER('Entrada Prod (semanal)'!O107),'Entrada Prod (semanal)'!O107,"")</f>
        <v>0</v>
      </c>
      <c r="M115" s="348">
        <f t="shared" si="15"/>
        <v>0</v>
      </c>
      <c r="N115" s="349">
        <f t="shared" si="16"/>
        <v>0</v>
      </c>
      <c r="O115" s="350">
        <f t="shared" si="17"/>
        <v>0</v>
      </c>
      <c r="P115" s="351">
        <f t="shared" si="19"/>
        <v>0</v>
      </c>
      <c r="Q115" s="351">
        <f t="shared" si="20"/>
        <v>0</v>
      </c>
      <c r="U115" s="84"/>
      <c r="V115" s="84"/>
    </row>
    <row r="116" spans="1:22" ht="13.8" thickBot="1" x14ac:dyDescent="0.3">
      <c r="A116" s="277">
        <v>120</v>
      </c>
      <c r="B116" s="72">
        <f>'Salida Prod'!B116</f>
        <v>0</v>
      </c>
      <c r="C116" s="67">
        <f>IF('Entrada Prod (semanal)'!K108&gt;0,'Entrada Prod (semanal)'!K108,IF('Entrada Prod (semanal)'!L108&gt;0,'Entrada Prod (semanal)'!L108*7*B116/1000, ))</f>
        <v>0</v>
      </c>
      <c r="D116" s="152">
        <f>IF('Entrada Prod (semanal)'!L108&gt;0,'Entrada Prod (semanal)'!L108,IF('Entrada Prod (semanal)'!K108&gt;0,'Entrada Prod (semanal)'!K108*1000/7/B116, ))</f>
        <v>0</v>
      </c>
      <c r="E116" s="80">
        <f>IF(C116&gt;0,SUM(C$11:C116), )</f>
        <v>0</v>
      </c>
      <c r="F116" s="83">
        <f>IF('Entrada Prod (semanal)'!N108&gt;0,'Entrada Prod (semanal)'!N108,IF('Entrada Prod (semanal)'!M108&gt;0,'Entrada Prod (semanal)'!M108*1000/7/B116, ))</f>
        <v>0</v>
      </c>
      <c r="G116" s="101">
        <f t="shared" si="18"/>
        <v>0</v>
      </c>
      <c r="H116" s="156">
        <f>IF($J$7&gt;0,IF('Entrada Prod (semanal)'!I108&gt;0,C116/('Salida Prod'!X116*$J$7*('Salida Prod'!K116/100))*10, ), )</f>
        <v>0</v>
      </c>
      <c r="I116" s="107">
        <f>IF($J$7&gt;0,IF('Entrada Prod (semanal)'!I108&gt;0,E116/('Salida Prod'!H116*$J$7*('Salida Prod'!M116/100))*10, ), )</f>
        <v>0</v>
      </c>
      <c r="J116" s="83">
        <f>IF(ISNUMBER('Entrada Prod (semanal)'!J108),'Entrada Prod (semanal)'!J108/10,"")</f>
        <v>0</v>
      </c>
      <c r="K116" s="372"/>
      <c r="L116" s="178">
        <f>IF(ISNUMBER('Entrada Prod (semanal)'!O108),'Entrada Prod (semanal)'!O108,"")</f>
        <v>0</v>
      </c>
      <c r="M116" s="348">
        <f t="shared" si="15"/>
        <v>0</v>
      </c>
      <c r="N116" s="349">
        <f t="shared" si="16"/>
        <v>0</v>
      </c>
      <c r="O116" s="350">
        <f t="shared" si="17"/>
        <v>0</v>
      </c>
      <c r="P116" s="351">
        <f t="shared" si="19"/>
        <v>0</v>
      </c>
      <c r="Q116" s="351">
        <f t="shared" si="20"/>
        <v>0</v>
      </c>
      <c r="U116" s="84"/>
      <c r="V116" s="84"/>
    </row>
    <row r="117" spans="1:22" ht="13.8" thickTop="1" x14ac:dyDescent="0.25">
      <c r="U117" s="129"/>
    </row>
    <row r="118" spans="1:22" x14ac:dyDescent="0.25">
      <c r="U118" s="129"/>
    </row>
    <row r="119" spans="1:22" x14ac:dyDescent="0.25">
      <c r="U119" s="129"/>
    </row>
    <row r="120" spans="1:22" x14ac:dyDescent="0.25">
      <c r="U120" s="129"/>
    </row>
    <row r="121" spans="1:22" x14ac:dyDescent="0.25">
      <c r="U121" s="129"/>
    </row>
    <row r="122" spans="1:22" x14ac:dyDescent="0.25">
      <c r="U122" s="129"/>
    </row>
    <row r="123" spans="1:22" x14ac:dyDescent="0.25">
      <c r="U123" s="129"/>
    </row>
    <row r="124" spans="1:22" x14ac:dyDescent="0.25">
      <c r="U124" s="129"/>
    </row>
    <row r="125" spans="1:22" x14ac:dyDescent="0.25">
      <c r="U125" s="129"/>
    </row>
    <row r="126" spans="1:22" x14ac:dyDescent="0.25">
      <c r="U126" s="129"/>
    </row>
    <row r="127" spans="1:22" x14ac:dyDescent="0.25">
      <c r="U127" s="129"/>
    </row>
    <row r="128" spans="1:22" x14ac:dyDescent="0.25">
      <c r="U128" s="129"/>
    </row>
    <row r="129" spans="21:21" x14ac:dyDescent="0.25">
      <c r="U129" s="129"/>
    </row>
    <row r="130" spans="21:21" x14ac:dyDescent="0.25">
      <c r="U130" s="129"/>
    </row>
    <row r="131" spans="21:21" x14ac:dyDescent="0.25">
      <c r="U131" s="129"/>
    </row>
    <row r="132" spans="21:21" x14ac:dyDescent="0.25">
      <c r="U132" s="129"/>
    </row>
    <row r="133" spans="21:21" x14ac:dyDescent="0.25">
      <c r="U133" s="129"/>
    </row>
    <row r="134" spans="21:21" x14ac:dyDescent="0.25">
      <c r="U134" s="129"/>
    </row>
    <row r="135" spans="21:21" x14ac:dyDescent="0.25">
      <c r="U135" s="129"/>
    </row>
    <row r="136" spans="21:21" x14ac:dyDescent="0.25">
      <c r="U136" s="129"/>
    </row>
    <row r="137" spans="21:21" x14ac:dyDescent="0.25">
      <c r="U137" s="129"/>
    </row>
    <row r="138" spans="21:21" x14ac:dyDescent="0.25">
      <c r="U138" s="129"/>
    </row>
    <row r="139" spans="21:21" x14ac:dyDescent="0.25">
      <c r="U139" s="129"/>
    </row>
    <row r="140" spans="21:21" x14ac:dyDescent="0.25">
      <c r="U140" s="129"/>
    </row>
    <row r="141" spans="21:21" x14ac:dyDescent="0.25">
      <c r="U141" s="129"/>
    </row>
    <row r="142" spans="21:21" x14ac:dyDescent="0.25">
      <c r="U142" s="129"/>
    </row>
    <row r="143" spans="21:21" x14ac:dyDescent="0.25">
      <c r="U143" s="129"/>
    </row>
    <row r="144" spans="21:21" x14ac:dyDescent="0.25">
      <c r="U144" s="129"/>
    </row>
    <row r="145" spans="21:21" x14ac:dyDescent="0.25">
      <c r="U145" s="129"/>
    </row>
    <row r="146" spans="21:21" x14ac:dyDescent="0.25">
      <c r="U146" s="129"/>
    </row>
    <row r="147" spans="21:21" x14ac:dyDescent="0.25">
      <c r="U147" s="129"/>
    </row>
    <row r="148" spans="21:21" x14ac:dyDescent="0.25">
      <c r="U148" s="129"/>
    </row>
    <row r="149" spans="21:21" x14ac:dyDescent="0.25">
      <c r="U149" s="129"/>
    </row>
    <row r="150" spans="21:21" x14ac:dyDescent="0.25">
      <c r="U150" s="129"/>
    </row>
    <row r="151" spans="21:21" x14ac:dyDescent="0.25">
      <c r="U151" s="129"/>
    </row>
    <row r="152" spans="21:21" x14ac:dyDescent="0.25">
      <c r="U152" s="129"/>
    </row>
    <row r="153" spans="21:21" x14ac:dyDescent="0.25">
      <c r="U153" s="129"/>
    </row>
    <row r="154" spans="21:21" x14ac:dyDescent="0.25">
      <c r="U154" s="129"/>
    </row>
    <row r="155" spans="21:21" x14ac:dyDescent="0.25">
      <c r="U155" s="129"/>
    </row>
    <row r="156" spans="21:21" x14ac:dyDescent="0.25">
      <c r="U156" s="129"/>
    </row>
    <row r="157" spans="21:21" x14ac:dyDescent="0.25">
      <c r="U157" s="129"/>
    </row>
    <row r="158" spans="21:21" x14ac:dyDescent="0.25">
      <c r="U158" s="129"/>
    </row>
    <row r="159" spans="21:21" x14ac:dyDescent="0.25">
      <c r="U159" s="129"/>
    </row>
    <row r="160" spans="21:21" x14ac:dyDescent="0.25">
      <c r="U160" s="129"/>
    </row>
    <row r="161" spans="21:21" x14ac:dyDescent="0.25">
      <c r="U161" s="129"/>
    </row>
    <row r="162" spans="21:21" x14ac:dyDescent="0.25">
      <c r="U162" s="129"/>
    </row>
    <row r="163" spans="21:21" x14ac:dyDescent="0.25">
      <c r="U163" s="129"/>
    </row>
    <row r="164" spans="21:21" x14ac:dyDescent="0.25">
      <c r="U164" s="129"/>
    </row>
    <row r="165" spans="21:21" x14ac:dyDescent="0.25">
      <c r="U165" s="129"/>
    </row>
    <row r="166" spans="21:21" x14ac:dyDescent="0.25">
      <c r="U166" s="129"/>
    </row>
    <row r="167" spans="21:21" x14ac:dyDescent="0.25">
      <c r="U167" s="129"/>
    </row>
    <row r="168" spans="21:21" x14ac:dyDescent="0.25">
      <c r="U168" s="129"/>
    </row>
    <row r="169" spans="21:21" x14ac:dyDescent="0.25">
      <c r="U169" s="129"/>
    </row>
    <row r="170" spans="21:21" x14ac:dyDescent="0.25">
      <c r="U170" s="129"/>
    </row>
    <row r="171" spans="21:21" x14ac:dyDescent="0.25">
      <c r="U171" s="129"/>
    </row>
    <row r="172" spans="21:21" x14ac:dyDescent="0.25">
      <c r="U172" s="129"/>
    </row>
    <row r="173" spans="21:21" x14ac:dyDescent="0.25">
      <c r="U173" s="129"/>
    </row>
    <row r="174" spans="21:21" x14ac:dyDescent="0.25">
      <c r="U174" s="129"/>
    </row>
    <row r="175" spans="21:21" x14ac:dyDescent="0.25">
      <c r="U175" s="129"/>
    </row>
    <row r="176" spans="21:21" x14ac:dyDescent="0.25">
      <c r="U176" s="129"/>
    </row>
    <row r="177" spans="21:21" x14ac:dyDescent="0.25">
      <c r="U177" s="129"/>
    </row>
    <row r="178" spans="21:21" x14ac:dyDescent="0.25">
      <c r="U178" s="129"/>
    </row>
    <row r="179" spans="21:21" x14ac:dyDescent="0.25">
      <c r="U179" s="129"/>
    </row>
    <row r="180" spans="21:21" x14ac:dyDescent="0.25">
      <c r="U180" s="129"/>
    </row>
    <row r="181" spans="21:21" x14ac:dyDescent="0.25">
      <c r="U181" s="129"/>
    </row>
    <row r="182" spans="21:21" x14ac:dyDescent="0.25">
      <c r="U182" s="129"/>
    </row>
    <row r="183" spans="21:21" x14ac:dyDescent="0.25">
      <c r="U183" s="129"/>
    </row>
    <row r="184" spans="21:21" x14ac:dyDescent="0.25">
      <c r="U184" s="129"/>
    </row>
    <row r="185" spans="21:21" x14ac:dyDescent="0.25">
      <c r="U185" s="129"/>
    </row>
    <row r="186" spans="21:21" x14ac:dyDescent="0.25">
      <c r="U186" s="129"/>
    </row>
    <row r="187" spans="21:21" x14ac:dyDescent="0.25">
      <c r="U187" s="129"/>
    </row>
    <row r="188" spans="21:21" x14ac:dyDescent="0.25">
      <c r="U188" s="129"/>
    </row>
    <row r="189" spans="21:21" x14ac:dyDescent="0.25">
      <c r="U189" s="129"/>
    </row>
    <row r="190" spans="21:21" x14ac:dyDescent="0.25">
      <c r="U190" s="129"/>
    </row>
    <row r="191" spans="21:21" x14ac:dyDescent="0.25">
      <c r="U191" s="129"/>
    </row>
    <row r="192" spans="21:21" x14ac:dyDescent="0.25">
      <c r="U192" s="129"/>
    </row>
    <row r="193" spans="21:21" x14ac:dyDescent="0.25">
      <c r="U193" s="129"/>
    </row>
    <row r="194" spans="21:21" x14ac:dyDescent="0.25">
      <c r="U194" s="129"/>
    </row>
    <row r="195" spans="21:21" x14ac:dyDescent="0.25">
      <c r="U195" s="129"/>
    </row>
    <row r="196" spans="21:21" x14ac:dyDescent="0.25">
      <c r="U196" s="129"/>
    </row>
    <row r="197" spans="21:21" x14ac:dyDescent="0.25">
      <c r="U197" s="129"/>
    </row>
    <row r="198" spans="21:21" x14ac:dyDescent="0.25">
      <c r="U198" s="129"/>
    </row>
    <row r="199" spans="21:21" x14ac:dyDescent="0.25">
      <c r="U199" s="129"/>
    </row>
    <row r="200" spans="21:21" x14ac:dyDescent="0.25">
      <c r="U200" s="129"/>
    </row>
    <row r="201" spans="21:21" x14ac:dyDescent="0.25">
      <c r="U201" s="129"/>
    </row>
    <row r="202" spans="21:21" x14ac:dyDescent="0.25">
      <c r="U202" s="129"/>
    </row>
    <row r="203" spans="21:21" x14ac:dyDescent="0.25">
      <c r="U203" s="129"/>
    </row>
    <row r="204" spans="21:21" x14ac:dyDescent="0.25">
      <c r="U204" s="129"/>
    </row>
    <row r="205" spans="21:21" x14ac:dyDescent="0.25">
      <c r="U205" s="129"/>
    </row>
    <row r="206" spans="21:21" x14ac:dyDescent="0.25">
      <c r="U206" s="129"/>
    </row>
    <row r="207" spans="21:21" x14ac:dyDescent="0.25">
      <c r="U207" s="129"/>
    </row>
    <row r="208" spans="21:21" x14ac:dyDescent="0.25">
      <c r="U208" s="129"/>
    </row>
    <row r="209" spans="21:21" x14ac:dyDescent="0.25">
      <c r="U209" s="129"/>
    </row>
    <row r="210" spans="21:21" x14ac:dyDescent="0.25">
      <c r="U210" s="129"/>
    </row>
    <row r="211" spans="21:21" x14ac:dyDescent="0.25">
      <c r="U211" s="129"/>
    </row>
    <row r="212" spans="21:21" x14ac:dyDescent="0.25">
      <c r="U212" s="129"/>
    </row>
    <row r="213" spans="21:21" x14ac:dyDescent="0.25">
      <c r="U213" s="129"/>
    </row>
    <row r="214" spans="21:21" x14ac:dyDescent="0.25">
      <c r="U214" s="129"/>
    </row>
    <row r="215" spans="21:21" x14ac:dyDescent="0.25">
      <c r="U215" s="129"/>
    </row>
    <row r="216" spans="21:21" x14ac:dyDescent="0.25">
      <c r="U216" s="129"/>
    </row>
    <row r="217" spans="21:21" x14ac:dyDescent="0.25">
      <c r="U217" s="129"/>
    </row>
    <row r="218" spans="21:21" x14ac:dyDescent="0.25">
      <c r="U218" s="129"/>
    </row>
    <row r="219" spans="21:21" x14ac:dyDescent="0.25">
      <c r="U219" s="129"/>
    </row>
    <row r="220" spans="21:21" x14ac:dyDescent="0.25">
      <c r="U220" s="129"/>
    </row>
    <row r="221" spans="21:21" x14ac:dyDescent="0.25">
      <c r="U221" s="129"/>
    </row>
    <row r="222" spans="21:21" x14ac:dyDescent="0.25">
      <c r="U222" s="129"/>
    </row>
    <row r="223" spans="21:21" x14ac:dyDescent="0.25">
      <c r="U223" s="129"/>
    </row>
    <row r="224" spans="21:21" x14ac:dyDescent="0.25">
      <c r="U224" s="129"/>
    </row>
    <row r="225" spans="21:21" x14ac:dyDescent="0.25">
      <c r="U225" s="129"/>
    </row>
    <row r="226" spans="21:21" x14ac:dyDescent="0.25">
      <c r="U226" s="129"/>
    </row>
    <row r="227" spans="21:21" x14ac:dyDescent="0.25">
      <c r="U227" s="129"/>
    </row>
    <row r="228" spans="21:21" x14ac:dyDescent="0.25">
      <c r="U228" s="129"/>
    </row>
    <row r="229" spans="21:21" x14ac:dyDescent="0.25">
      <c r="U229" s="129"/>
    </row>
    <row r="230" spans="21:21" x14ac:dyDescent="0.25">
      <c r="U230" s="129"/>
    </row>
    <row r="231" spans="21:21" x14ac:dyDescent="0.25">
      <c r="U231" s="129"/>
    </row>
    <row r="232" spans="21:21" x14ac:dyDescent="0.25">
      <c r="U232" s="129"/>
    </row>
    <row r="233" spans="21:21" x14ac:dyDescent="0.25">
      <c r="U233" s="129"/>
    </row>
    <row r="234" spans="21:21" x14ac:dyDescent="0.25">
      <c r="U234" s="129"/>
    </row>
    <row r="235" spans="21:21" x14ac:dyDescent="0.25">
      <c r="U235" s="129"/>
    </row>
    <row r="236" spans="21:21" x14ac:dyDescent="0.25">
      <c r="U236" s="129"/>
    </row>
    <row r="237" spans="21:21" x14ac:dyDescent="0.25">
      <c r="U237" s="129"/>
    </row>
    <row r="238" spans="21:21" x14ac:dyDescent="0.25">
      <c r="U238" s="129"/>
    </row>
    <row r="239" spans="21:21" x14ac:dyDescent="0.25">
      <c r="U239" s="129"/>
    </row>
    <row r="240" spans="21:21" x14ac:dyDescent="0.25">
      <c r="U240" s="129"/>
    </row>
    <row r="241" spans="21:21" x14ac:dyDescent="0.25">
      <c r="U241" s="129"/>
    </row>
    <row r="242" spans="21:21" x14ac:dyDescent="0.25">
      <c r="U242" s="129"/>
    </row>
    <row r="243" spans="21:21" x14ac:dyDescent="0.25">
      <c r="U243" s="129"/>
    </row>
    <row r="244" spans="21:21" x14ac:dyDescent="0.25">
      <c r="U244" s="129"/>
    </row>
    <row r="245" spans="21:21" x14ac:dyDescent="0.25">
      <c r="U245" s="129"/>
    </row>
    <row r="246" spans="21:21" x14ac:dyDescent="0.25">
      <c r="U246" s="129"/>
    </row>
    <row r="247" spans="21:21" x14ac:dyDescent="0.25">
      <c r="U247" s="129"/>
    </row>
    <row r="248" spans="21:21" x14ac:dyDescent="0.25">
      <c r="U248" s="129"/>
    </row>
    <row r="249" spans="21:21" x14ac:dyDescent="0.25">
      <c r="U249" s="129"/>
    </row>
    <row r="250" spans="21:21" x14ac:dyDescent="0.25">
      <c r="U250" s="129"/>
    </row>
    <row r="251" spans="21:21" x14ac:dyDescent="0.25">
      <c r="U251" s="129"/>
    </row>
    <row r="252" spans="21:21" x14ac:dyDescent="0.25">
      <c r="U252" s="129"/>
    </row>
    <row r="253" spans="21:21" x14ac:dyDescent="0.25">
      <c r="U253" s="129"/>
    </row>
    <row r="254" spans="21:21" x14ac:dyDescent="0.25">
      <c r="U254" s="129"/>
    </row>
    <row r="255" spans="21:21" x14ac:dyDescent="0.25">
      <c r="U255" s="129"/>
    </row>
    <row r="256" spans="21:21" x14ac:dyDescent="0.25">
      <c r="U256" s="129"/>
    </row>
    <row r="257" spans="21:21" x14ac:dyDescent="0.25">
      <c r="U257" s="129"/>
    </row>
    <row r="258" spans="21:21" x14ac:dyDescent="0.25">
      <c r="U258" s="129"/>
    </row>
    <row r="259" spans="21:21" x14ac:dyDescent="0.25">
      <c r="U259" s="129"/>
    </row>
    <row r="260" spans="21:21" x14ac:dyDescent="0.25">
      <c r="U260" s="129"/>
    </row>
    <row r="261" spans="21:21" x14ac:dyDescent="0.25">
      <c r="U261" s="129"/>
    </row>
    <row r="262" spans="21:21" x14ac:dyDescent="0.25">
      <c r="U262" s="129"/>
    </row>
    <row r="263" spans="21:21" x14ac:dyDescent="0.25">
      <c r="U263" s="129"/>
    </row>
    <row r="264" spans="21:21" x14ac:dyDescent="0.25">
      <c r="U264" s="129"/>
    </row>
    <row r="265" spans="21:21" x14ac:dyDescent="0.25">
      <c r="U265" s="129"/>
    </row>
    <row r="266" spans="21:21" x14ac:dyDescent="0.25">
      <c r="U266" s="129"/>
    </row>
    <row r="267" spans="21:21" x14ac:dyDescent="0.25">
      <c r="U267" s="129"/>
    </row>
    <row r="268" spans="21:21" x14ac:dyDescent="0.25">
      <c r="U268" s="129"/>
    </row>
    <row r="269" spans="21:21" x14ac:dyDescent="0.25">
      <c r="U269" s="129"/>
    </row>
    <row r="270" spans="21:21" x14ac:dyDescent="0.25">
      <c r="U270" s="129"/>
    </row>
    <row r="271" spans="21:21" x14ac:dyDescent="0.25">
      <c r="U271" s="129"/>
    </row>
    <row r="272" spans="21:21" x14ac:dyDescent="0.25">
      <c r="U272" s="129"/>
    </row>
    <row r="273" spans="21:21" x14ac:dyDescent="0.25">
      <c r="U273" s="129"/>
    </row>
    <row r="274" spans="21:21" x14ac:dyDescent="0.25">
      <c r="U274" s="129"/>
    </row>
    <row r="275" spans="21:21" x14ac:dyDescent="0.25">
      <c r="U275" s="129"/>
    </row>
    <row r="276" spans="21:21" x14ac:dyDescent="0.25">
      <c r="U276" s="129"/>
    </row>
    <row r="277" spans="21:21" x14ac:dyDescent="0.25">
      <c r="U277" s="129"/>
    </row>
    <row r="278" spans="21:21" x14ac:dyDescent="0.25">
      <c r="U278" s="129"/>
    </row>
    <row r="279" spans="21:21" x14ac:dyDescent="0.25">
      <c r="U279" s="129"/>
    </row>
    <row r="280" spans="21:21" x14ac:dyDescent="0.25">
      <c r="U280" s="129"/>
    </row>
    <row r="281" spans="21:21" x14ac:dyDescent="0.25">
      <c r="U281" s="129"/>
    </row>
    <row r="282" spans="21:21" x14ac:dyDescent="0.25">
      <c r="U282" s="129"/>
    </row>
    <row r="283" spans="21:21" x14ac:dyDescent="0.25">
      <c r="U283" s="129"/>
    </row>
    <row r="284" spans="21:21" x14ac:dyDescent="0.25">
      <c r="U284" s="129"/>
    </row>
    <row r="285" spans="21:21" x14ac:dyDescent="0.25">
      <c r="U285" s="129"/>
    </row>
    <row r="286" spans="21:21" x14ac:dyDescent="0.25">
      <c r="U286" s="129"/>
    </row>
    <row r="287" spans="21:21" x14ac:dyDescent="0.25">
      <c r="U287" s="129"/>
    </row>
    <row r="288" spans="21:21" x14ac:dyDescent="0.25">
      <c r="U288" s="129"/>
    </row>
    <row r="289" spans="21:21" x14ac:dyDescent="0.25">
      <c r="U289" s="129"/>
    </row>
    <row r="290" spans="21:21" x14ac:dyDescent="0.25">
      <c r="U290" s="129"/>
    </row>
    <row r="291" spans="21:21" x14ac:dyDescent="0.25">
      <c r="U291" s="129"/>
    </row>
    <row r="292" spans="21:21" x14ac:dyDescent="0.25">
      <c r="U292" s="129"/>
    </row>
    <row r="293" spans="21:21" x14ac:dyDescent="0.25">
      <c r="U293" s="129"/>
    </row>
    <row r="294" spans="21:21" x14ac:dyDescent="0.25">
      <c r="U294" s="129"/>
    </row>
    <row r="295" spans="21:21" x14ac:dyDescent="0.25">
      <c r="U295" s="129"/>
    </row>
    <row r="296" spans="21:21" x14ac:dyDescent="0.25">
      <c r="U296" s="129"/>
    </row>
    <row r="297" spans="21:21" x14ac:dyDescent="0.25">
      <c r="U297" s="129"/>
    </row>
    <row r="298" spans="21:21" x14ac:dyDescent="0.25">
      <c r="U298" s="129"/>
    </row>
    <row r="299" spans="21:21" x14ac:dyDescent="0.25">
      <c r="U299" s="129"/>
    </row>
    <row r="300" spans="21:21" x14ac:dyDescent="0.25">
      <c r="U300" s="129"/>
    </row>
    <row r="301" spans="21:21" x14ac:dyDescent="0.25">
      <c r="U301" s="129"/>
    </row>
    <row r="302" spans="21:21" x14ac:dyDescent="0.25">
      <c r="U302" s="129"/>
    </row>
    <row r="303" spans="21:21" x14ac:dyDescent="0.25">
      <c r="U303" s="129"/>
    </row>
    <row r="304" spans="21:21" x14ac:dyDescent="0.25">
      <c r="U304" s="129"/>
    </row>
    <row r="305" spans="21:21" x14ac:dyDescent="0.25">
      <c r="U305" s="129"/>
    </row>
    <row r="306" spans="21:21" x14ac:dyDescent="0.25">
      <c r="U306" s="129"/>
    </row>
    <row r="307" spans="21:21" x14ac:dyDescent="0.25">
      <c r="U307" s="129"/>
    </row>
    <row r="308" spans="21:21" x14ac:dyDescent="0.25">
      <c r="U308" s="129"/>
    </row>
    <row r="309" spans="21:21" x14ac:dyDescent="0.25">
      <c r="U309" s="129"/>
    </row>
    <row r="310" spans="21:21" x14ac:dyDescent="0.25">
      <c r="U310" s="129"/>
    </row>
    <row r="311" spans="21:21" x14ac:dyDescent="0.25">
      <c r="U311" s="129"/>
    </row>
    <row r="312" spans="21:21" x14ac:dyDescent="0.25">
      <c r="U312" s="129"/>
    </row>
    <row r="313" spans="21:21" x14ac:dyDescent="0.25">
      <c r="U313" s="129"/>
    </row>
    <row r="314" spans="21:21" x14ac:dyDescent="0.25">
      <c r="U314" s="129"/>
    </row>
    <row r="315" spans="21:21" x14ac:dyDescent="0.25">
      <c r="U315" s="129"/>
    </row>
    <row r="316" spans="21:21" x14ac:dyDescent="0.25">
      <c r="U316" s="129"/>
    </row>
    <row r="317" spans="21:21" x14ac:dyDescent="0.25">
      <c r="U317" s="129"/>
    </row>
    <row r="318" spans="21:21" x14ac:dyDescent="0.25">
      <c r="U318" s="129"/>
    </row>
    <row r="319" spans="21:21" x14ac:dyDescent="0.25">
      <c r="U319" s="129"/>
    </row>
    <row r="320" spans="21:21" x14ac:dyDescent="0.25">
      <c r="U320" s="129"/>
    </row>
    <row r="321" spans="21:21" x14ac:dyDescent="0.25">
      <c r="U321" s="129"/>
    </row>
    <row r="322" spans="21:21" x14ac:dyDescent="0.25">
      <c r="U322" s="129"/>
    </row>
    <row r="323" spans="21:21" x14ac:dyDescent="0.25">
      <c r="U323" s="129"/>
    </row>
    <row r="324" spans="21:21" x14ac:dyDescent="0.25">
      <c r="U324" s="129"/>
    </row>
    <row r="325" spans="21:21" x14ac:dyDescent="0.25">
      <c r="U325" s="129"/>
    </row>
    <row r="326" spans="21:21" x14ac:dyDescent="0.25">
      <c r="U326" s="129"/>
    </row>
    <row r="327" spans="21:21" x14ac:dyDescent="0.25">
      <c r="U327" s="129"/>
    </row>
    <row r="328" spans="21:21" x14ac:dyDescent="0.25">
      <c r="U328" s="129"/>
    </row>
    <row r="329" spans="21:21" x14ac:dyDescent="0.25">
      <c r="U329" s="129"/>
    </row>
    <row r="330" spans="21:21" x14ac:dyDescent="0.25">
      <c r="U330" s="129"/>
    </row>
    <row r="331" spans="21:21" x14ac:dyDescent="0.25">
      <c r="U331" s="129"/>
    </row>
    <row r="332" spans="21:21" x14ac:dyDescent="0.25">
      <c r="U332" s="129"/>
    </row>
    <row r="333" spans="21:21" x14ac:dyDescent="0.25">
      <c r="U333" s="129"/>
    </row>
    <row r="334" spans="21:21" x14ac:dyDescent="0.25">
      <c r="U334" s="129"/>
    </row>
    <row r="335" spans="21:21" x14ac:dyDescent="0.25">
      <c r="U335" s="129"/>
    </row>
    <row r="336" spans="21:21" x14ac:dyDescent="0.25">
      <c r="U336" s="129"/>
    </row>
    <row r="337" spans="21:21" x14ac:dyDescent="0.25">
      <c r="U337" s="129"/>
    </row>
    <row r="338" spans="21:21" x14ac:dyDescent="0.25">
      <c r="U338" s="129"/>
    </row>
    <row r="339" spans="21:21" x14ac:dyDescent="0.25">
      <c r="U339" s="129"/>
    </row>
    <row r="340" spans="21:21" x14ac:dyDescent="0.25">
      <c r="U340" s="129"/>
    </row>
    <row r="341" spans="21:21" x14ac:dyDescent="0.25">
      <c r="U341" s="129"/>
    </row>
    <row r="342" spans="21:21" x14ac:dyDescent="0.25">
      <c r="U342" s="129"/>
    </row>
    <row r="343" spans="21:21" x14ac:dyDescent="0.25">
      <c r="U343" s="129"/>
    </row>
    <row r="344" spans="21:21" x14ac:dyDescent="0.25">
      <c r="U344" s="129"/>
    </row>
    <row r="345" spans="21:21" x14ac:dyDescent="0.25">
      <c r="U345" s="129"/>
    </row>
    <row r="346" spans="21:21" x14ac:dyDescent="0.25">
      <c r="U346" s="129"/>
    </row>
    <row r="347" spans="21:21" x14ac:dyDescent="0.25">
      <c r="U347" s="129"/>
    </row>
    <row r="348" spans="21:21" x14ac:dyDescent="0.25">
      <c r="U348" s="129"/>
    </row>
    <row r="349" spans="21:21" x14ac:dyDescent="0.25">
      <c r="U349" s="129"/>
    </row>
    <row r="350" spans="21:21" x14ac:dyDescent="0.25">
      <c r="U350" s="129"/>
    </row>
    <row r="351" spans="21:21" x14ac:dyDescent="0.25">
      <c r="U351" s="129"/>
    </row>
    <row r="352" spans="21:21" x14ac:dyDescent="0.25">
      <c r="U352" s="129"/>
    </row>
    <row r="353" spans="21:21" x14ac:dyDescent="0.25">
      <c r="U353" s="129"/>
    </row>
    <row r="354" spans="21:21" x14ac:dyDescent="0.25">
      <c r="U354" s="129"/>
    </row>
    <row r="355" spans="21:21" x14ac:dyDescent="0.25">
      <c r="U355" s="129"/>
    </row>
    <row r="356" spans="21:21" x14ac:dyDescent="0.25">
      <c r="U356" s="129"/>
    </row>
    <row r="357" spans="21:21" x14ac:dyDescent="0.25">
      <c r="U357" s="129"/>
    </row>
    <row r="358" spans="21:21" x14ac:dyDescent="0.25">
      <c r="U358" s="129"/>
    </row>
    <row r="359" spans="21:21" x14ac:dyDescent="0.25">
      <c r="U359" s="129"/>
    </row>
    <row r="360" spans="21:21" x14ac:dyDescent="0.25">
      <c r="U360" s="129"/>
    </row>
    <row r="361" spans="21:21" x14ac:dyDescent="0.25">
      <c r="U361" s="129"/>
    </row>
    <row r="362" spans="21:21" x14ac:dyDescent="0.25">
      <c r="U362" s="129"/>
    </row>
    <row r="363" spans="21:21" x14ac:dyDescent="0.25">
      <c r="U363" s="129"/>
    </row>
    <row r="364" spans="21:21" x14ac:dyDescent="0.25">
      <c r="U364" s="129"/>
    </row>
    <row r="365" spans="21:21" x14ac:dyDescent="0.25">
      <c r="U365" s="129"/>
    </row>
    <row r="366" spans="21:21" x14ac:dyDescent="0.25">
      <c r="U366" s="129"/>
    </row>
    <row r="367" spans="21:21" x14ac:dyDescent="0.25">
      <c r="U367" s="129"/>
    </row>
    <row r="368" spans="21:21" x14ac:dyDescent="0.25">
      <c r="U368" s="129"/>
    </row>
    <row r="369" spans="21:21" x14ac:dyDescent="0.25">
      <c r="U369" s="129"/>
    </row>
    <row r="370" spans="21:21" x14ac:dyDescent="0.25">
      <c r="U370" s="129"/>
    </row>
    <row r="371" spans="21:21" x14ac:dyDescent="0.25">
      <c r="U371" s="129"/>
    </row>
    <row r="372" spans="21:21" x14ac:dyDescent="0.25">
      <c r="U372" s="129"/>
    </row>
    <row r="373" spans="21:21" x14ac:dyDescent="0.25">
      <c r="U373" s="129"/>
    </row>
    <row r="374" spans="21:21" x14ac:dyDescent="0.25">
      <c r="U374" s="129"/>
    </row>
    <row r="375" spans="21:21" x14ac:dyDescent="0.25">
      <c r="U375" s="129"/>
    </row>
    <row r="376" spans="21:21" x14ac:dyDescent="0.25">
      <c r="U376" s="129"/>
    </row>
    <row r="377" spans="21:21" x14ac:dyDescent="0.25">
      <c r="U377" s="129"/>
    </row>
    <row r="378" spans="21:21" x14ac:dyDescent="0.25">
      <c r="U378" s="129"/>
    </row>
    <row r="379" spans="21:21" x14ac:dyDescent="0.25">
      <c r="U379" s="129"/>
    </row>
    <row r="380" spans="21:21" x14ac:dyDescent="0.25">
      <c r="U380" s="129"/>
    </row>
    <row r="381" spans="21:21" x14ac:dyDescent="0.25">
      <c r="U381" s="129"/>
    </row>
    <row r="382" spans="21:21" x14ac:dyDescent="0.25">
      <c r="U382" s="129"/>
    </row>
    <row r="383" spans="21:21" x14ac:dyDescent="0.25">
      <c r="U383" s="129"/>
    </row>
    <row r="384" spans="21:21" x14ac:dyDescent="0.25">
      <c r="U384" s="129"/>
    </row>
    <row r="385" spans="21:21" x14ac:dyDescent="0.25">
      <c r="U385" s="129"/>
    </row>
    <row r="386" spans="21:21" x14ac:dyDescent="0.25">
      <c r="U386" s="129"/>
    </row>
    <row r="387" spans="21:21" x14ac:dyDescent="0.25">
      <c r="U387" s="129"/>
    </row>
    <row r="388" spans="21:21" x14ac:dyDescent="0.25">
      <c r="U388" s="129"/>
    </row>
    <row r="389" spans="21:21" x14ac:dyDescent="0.25">
      <c r="U389" s="129"/>
    </row>
    <row r="390" spans="21:21" x14ac:dyDescent="0.25">
      <c r="U390" s="129"/>
    </row>
    <row r="391" spans="21:21" x14ac:dyDescent="0.25">
      <c r="U391" s="129"/>
    </row>
    <row r="392" spans="21:21" x14ac:dyDescent="0.25">
      <c r="U392" s="129"/>
    </row>
    <row r="393" spans="21:21" x14ac:dyDescent="0.25">
      <c r="U393" s="129"/>
    </row>
    <row r="394" spans="21:21" x14ac:dyDescent="0.25">
      <c r="U394" s="129"/>
    </row>
    <row r="395" spans="21:21" x14ac:dyDescent="0.25">
      <c r="U395" s="129"/>
    </row>
    <row r="396" spans="21:21" x14ac:dyDescent="0.25">
      <c r="U396" s="129"/>
    </row>
    <row r="397" spans="21:21" x14ac:dyDescent="0.25">
      <c r="U397" s="129"/>
    </row>
    <row r="398" spans="21:21" x14ac:dyDescent="0.25">
      <c r="U398" s="129"/>
    </row>
    <row r="399" spans="21:21" x14ac:dyDescent="0.25">
      <c r="U399" s="129"/>
    </row>
    <row r="400" spans="21:21" x14ac:dyDescent="0.25">
      <c r="U400" s="129"/>
    </row>
    <row r="401" spans="21:21" x14ac:dyDescent="0.25">
      <c r="U401" s="129"/>
    </row>
    <row r="402" spans="21:21" x14ac:dyDescent="0.25">
      <c r="U402" s="129"/>
    </row>
    <row r="403" spans="21:21" x14ac:dyDescent="0.25">
      <c r="U403" s="129"/>
    </row>
    <row r="404" spans="21:21" x14ac:dyDescent="0.25">
      <c r="U404" s="129"/>
    </row>
    <row r="405" spans="21:21" x14ac:dyDescent="0.25">
      <c r="U405" s="129"/>
    </row>
    <row r="406" spans="21:21" x14ac:dyDescent="0.25">
      <c r="U406" s="129"/>
    </row>
    <row r="407" spans="21:21" x14ac:dyDescent="0.25">
      <c r="U407" s="129"/>
    </row>
    <row r="408" spans="21:21" x14ac:dyDescent="0.25">
      <c r="U408" s="129"/>
    </row>
    <row r="409" spans="21:21" x14ac:dyDescent="0.25">
      <c r="U409" s="129"/>
    </row>
    <row r="410" spans="21:21" x14ac:dyDescent="0.25">
      <c r="U410" s="129"/>
    </row>
    <row r="411" spans="21:21" x14ac:dyDescent="0.25">
      <c r="U411" s="129"/>
    </row>
    <row r="412" spans="21:21" x14ac:dyDescent="0.25">
      <c r="U412" s="129"/>
    </row>
    <row r="413" spans="21:21" x14ac:dyDescent="0.25">
      <c r="U413" s="129"/>
    </row>
    <row r="414" spans="21:21" x14ac:dyDescent="0.25">
      <c r="U414" s="129"/>
    </row>
    <row r="415" spans="21:21" x14ac:dyDescent="0.25">
      <c r="U415" s="129"/>
    </row>
    <row r="416" spans="21:21" x14ac:dyDescent="0.25">
      <c r="U416" s="129"/>
    </row>
    <row r="417" spans="21:21" x14ac:dyDescent="0.25">
      <c r="U417" s="129"/>
    </row>
    <row r="418" spans="21:21" x14ac:dyDescent="0.25">
      <c r="U418" s="129"/>
    </row>
    <row r="419" spans="21:21" x14ac:dyDescent="0.25">
      <c r="U419" s="129"/>
    </row>
    <row r="420" spans="21:21" x14ac:dyDescent="0.25">
      <c r="U420" s="129"/>
    </row>
    <row r="421" spans="21:21" x14ac:dyDescent="0.25">
      <c r="U421" s="129"/>
    </row>
    <row r="422" spans="21:21" x14ac:dyDescent="0.25">
      <c r="U422" s="129"/>
    </row>
    <row r="423" spans="21:21" x14ac:dyDescent="0.25">
      <c r="U423" s="129"/>
    </row>
    <row r="424" spans="21:21" x14ac:dyDescent="0.25">
      <c r="U424" s="129"/>
    </row>
    <row r="425" spans="21:21" x14ac:dyDescent="0.25">
      <c r="U425" s="129"/>
    </row>
    <row r="426" spans="21:21" x14ac:dyDescent="0.25">
      <c r="U426" s="129"/>
    </row>
    <row r="427" spans="21:21" x14ac:dyDescent="0.25">
      <c r="U427" s="129"/>
    </row>
    <row r="428" spans="21:21" x14ac:dyDescent="0.25">
      <c r="U428" s="129"/>
    </row>
    <row r="429" spans="21:21" x14ac:dyDescent="0.25">
      <c r="U429" s="129"/>
    </row>
    <row r="430" spans="21:21" x14ac:dyDescent="0.25">
      <c r="U430" s="129"/>
    </row>
    <row r="431" spans="21:21" x14ac:dyDescent="0.25">
      <c r="U431" s="129"/>
    </row>
    <row r="432" spans="21:21" x14ac:dyDescent="0.25">
      <c r="U432" s="129"/>
    </row>
    <row r="433" spans="21:21" x14ac:dyDescent="0.25">
      <c r="U433" s="129"/>
    </row>
    <row r="434" spans="21:21" x14ac:dyDescent="0.25">
      <c r="U434" s="129"/>
    </row>
    <row r="435" spans="21:21" x14ac:dyDescent="0.25">
      <c r="U435" s="129"/>
    </row>
    <row r="436" spans="21:21" x14ac:dyDescent="0.25">
      <c r="U436" s="129"/>
    </row>
    <row r="437" spans="21:21" x14ac:dyDescent="0.25">
      <c r="U437" s="129"/>
    </row>
    <row r="438" spans="21:21" x14ac:dyDescent="0.25">
      <c r="U438" s="129"/>
    </row>
    <row r="439" spans="21:21" x14ac:dyDescent="0.25">
      <c r="U439" s="129"/>
    </row>
    <row r="440" spans="21:21" x14ac:dyDescent="0.25">
      <c r="U440" s="129"/>
    </row>
    <row r="441" spans="21:21" x14ac:dyDescent="0.25">
      <c r="U441" s="129"/>
    </row>
    <row r="442" spans="21:21" x14ac:dyDescent="0.25">
      <c r="U442" s="129"/>
    </row>
    <row r="443" spans="21:21" x14ac:dyDescent="0.25">
      <c r="U443" s="129"/>
    </row>
    <row r="444" spans="21:21" x14ac:dyDescent="0.25">
      <c r="U444" s="129"/>
    </row>
    <row r="445" spans="21:21" x14ac:dyDescent="0.25">
      <c r="U445" s="129"/>
    </row>
    <row r="446" spans="21:21" x14ac:dyDescent="0.25">
      <c r="U446" s="129"/>
    </row>
    <row r="447" spans="21:21" x14ac:dyDescent="0.25">
      <c r="U447" s="129"/>
    </row>
    <row r="448" spans="21:21" x14ac:dyDescent="0.25">
      <c r="U448" s="129"/>
    </row>
    <row r="449" spans="21:21" x14ac:dyDescent="0.25">
      <c r="U449" s="129"/>
    </row>
    <row r="450" spans="21:21" x14ac:dyDescent="0.25">
      <c r="U450" s="129"/>
    </row>
    <row r="451" spans="21:21" x14ac:dyDescent="0.25">
      <c r="U451" s="129"/>
    </row>
    <row r="452" spans="21:21" x14ac:dyDescent="0.25">
      <c r="U452" s="129"/>
    </row>
    <row r="453" spans="21:21" x14ac:dyDescent="0.25">
      <c r="U453" s="129"/>
    </row>
    <row r="454" spans="21:21" x14ac:dyDescent="0.25">
      <c r="U454" s="129"/>
    </row>
    <row r="455" spans="21:21" x14ac:dyDescent="0.25">
      <c r="U455" s="129"/>
    </row>
    <row r="456" spans="21:21" x14ac:dyDescent="0.25">
      <c r="U456" s="129"/>
    </row>
    <row r="457" spans="21:21" x14ac:dyDescent="0.25">
      <c r="U457" s="129"/>
    </row>
    <row r="458" spans="21:21" x14ac:dyDescent="0.25">
      <c r="U458" s="129"/>
    </row>
    <row r="459" spans="21:21" x14ac:dyDescent="0.25">
      <c r="U459" s="129"/>
    </row>
    <row r="460" spans="21:21" x14ac:dyDescent="0.25">
      <c r="U460" s="129"/>
    </row>
    <row r="461" spans="21:21" x14ac:dyDescent="0.25">
      <c r="U461" s="129"/>
    </row>
    <row r="462" spans="21:21" x14ac:dyDescent="0.25">
      <c r="U462" s="129"/>
    </row>
    <row r="463" spans="21:21" x14ac:dyDescent="0.25">
      <c r="U463" s="129"/>
    </row>
    <row r="464" spans="21:21" x14ac:dyDescent="0.25">
      <c r="U464" s="129"/>
    </row>
    <row r="465" spans="21:21" x14ac:dyDescent="0.25">
      <c r="U465" s="129"/>
    </row>
    <row r="466" spans="21:21" x14ac:dyDescent="0.25">
      <c r="U466" s="129"/>
    </row>
    <row r="467" spans="21:21" x14ac:dyDescent="0.25">
      <c r="U467" s="129"/>
    </row>
    <row r="468" spans="21:21" x14ac:dyDescent="0.25">
      <c r="U468" s="129"/>
    </row>
    <row r="469" spans="21:21" x14ac:dyDescent="0.25">
      <c r="U469" s="129"/>
    </row>
    <row r="470" spans="21:21" x14ac:dyDescent="0.25">
      <c r="U470" s="129"/>
    </row>
    <row r="471" spans="21:21" x14ac:dyDescent="0.25">
      <c r="U471" s="129"/>
    </row>
    <row r="472" spans="21:21" x14ac:dyDescent="0.25">
      <c r="U472" s="129"/>
    </row>
    <row r="473" spans="21:21" x14ac:dyDescent="0.25">
      <c r="U473" s="129"/>
    </row>
    <row r="474" spans="21:21" x14ac:dyDescent="0.25">
      <c r="U474" s="129"/>
    </row>
    <row r="475" spans="21:21" x14ac:dyDescent="0.25">
      <c r="U475" s="129"/>
    </row>
    <row r="476" spans="21:21" x14ac:dyDescent="0.25">
      <c r="U476" s="129"/>
    </row>
    <row r="477" spans="21:21" x14ac:dyDescent="0.25">
      <c r="U477" s="129"/>
    </row>
    <row r="478" spans="21:21" x14ac:dyDescent="0.25">
      <c r="U478" s="129"/>
    </row>
    <row r="479" spans="21:21" x14ac:dyDescent="0.25">
      <c r="U479" s="129"/>
    </row>
    <row r="480" spans="21:21" x14ac:dyDescent="0.25">
      <c r="U480" s="129"/>
    </row>
    <row r="481" spans="21:21" x14ac:dyDescent="0.25">
      <c r="U481" s="129"/>
    </row>
    <row r="482" spans="21:21" x14ac:dyDescent="0.25">
      <c r="U482" s="129"/>
    </row>
    <row r="483" spans="21:21" x14ac:dyDescent="0.25">
      <c r="U483" s="129"/>
    </row>
    <row r="484" spans="21:21" x14ac:dyDescent="0.25">
      <c r="U484" s="129"/>
    </row>
    <row r="485" spans="21:21" x14ac:dyDescent="0.25">
      <c r="U485" s="129"/>
    </row>
    <row r="486" spans="21:21" x14ac:dyDescent="0.25">
      <c r="U486" s="129"/>
    </row>
    <row r="487" spans="21:21" x14ac:dyDescent="0.25">
      <c r="U487" s="129"/>
    </row>
    <row r="488" spans="21:21" x14ac:dyDescent="0.25">
      <c r="U488" s="129"/>
    </row>
    <row r="489" spans="21:21" x14ac:dyDescent="0.25">
      <c r="U489" s="129"/>
    </row>
    <row r="490" spans="21:21" x14ac:dyDescent="0.25">
      <c r="U490" s="129"/>
    </row>
    <row r="491" spans="21:21" x14ac:dyDescent="0.25">
      <c r="U491" s="129"/>
    </row>
    <row r="492" spans="21:21" x14ac:dyDescent="0.25">
      <c r="U492" s="129"/>
    </row>
    <row r="493" spans="21:21" x14ac:dyDescent="0.25">
      <c r="U493" s="129"/>
    </row>
    <row r="494" spans="21:21" x14ac:dyDescent="0.25">
      <c r="U494" s="129"/>
    </row>
    <row r="495" spans="21:21" x14ac:dyDescent="0.25">
      <c r="U495" s="129"/>
    </row>
    <row r="496" spans="21:21" x14ac:dyDescent="0.25">
      <c r="U496" s="129"/>
    </row>
    <row r="497" spans="21:21" x14ac:dyDescent="0.25">
      <c r="U497" s="129"/>
    </row>
    <row r="498" spans="21:21" x14ac:dyDescent="0.25">
      <c r="U498" s="129"/>
    </row>
    <row r="499" spans="21:21" x14ac:dyDescent="0.25">
      <c r="U499" s="129"/>
    </row>
    <row r="500" spans="21:21" x14ac:dyDescent="0.25">
      <c r="U500" s="129"/>
    </row>
    <row r="501" spans="21:21" x14ac:dyDescent="0.25">
      <c r="U501" s="129"/>
    </row>
    <row r="502" spans="21:21" x14ac:dyDescent="0.25">
      <c r="U502" s="129"/>
    </row>
    <row r="503" spans="21:21" x14ac:dyDescent="0.25">
      <c r="U503" s="129"/>
    </row>
    <row r="504" spans="21:21" x14ac:dyDescent="0.25">
      <c r="U504" s="129"/>
    </row>
    <row r="505" spans="21:21" x14ac:dyDescent="0.25">
      <c r="U505" s="129"/>
    </row>
    <row r="506" spans="21:21" x14ac:dyDescent="0.25">
      <c r="U506" s="129"/>
    </row>
    <row r="507" spans="21:21" x14ac:dyDescent="0.25">
      <c r="U507" s="129"/>
    </row>
    <row r="508" spans="21:21" x14ac:dyDescent="0.25">
      <c r="U508" s="129"/>
    </row>
    <row r="509" spans="21:21" x14ac:dyDescent="0.25">
      <c r="U509" s="129"/>
    </row>
    <row r="510" spans="21:21" x14ac:dyDescent="0.25">
      <c r="U510" s="129"/>
    </row>
    <row r="511" spans="21:21" x14ac:dyDescent="0.25">
      <c r="U511" s="129"/>
    </row>
    <row r="512" spans="21:21" x14ac:dyDescent="0.25">
      <c r="U512" s="129"/>
    </row>
    <row r="513" spans="21:21" x14ac:dyDescent="0.25">
      <c r="U513" s="129"/>
    </row>
    <row r="514" spans="21:21" x14ac:dyDescent="0.25">
      <c r="U514" s="129"/>
    </row>
    <row r="515" spans="21:21" x14ac:dyDescent="0.25">
      <c r="U515" s="129"/>
    </row>
    <row r="516" spans="21:21" x14ac:dyDescent="0.25">
      <c r="U516" s="129"/>
    </row>
    <row r="517" spans="21:21" x14ac:dyDescent="0.25">
      <c r="U517" s="129"/>
    </row>
    <row r="518" spans="21:21" x14ac:dyDescent="0.25">
      <c r="U518" s="129"/>
    </row>
    <row r="519" spans="21:21" x14ac:dyDescent="0.25">
      <c r="U519" s="129"/>
    </row>
    <row r="520" spans="21:21" x14ac:dyDescent="0.25">
      <c r="U520" s="129"/>
    </row>
    <row r="521" spans="21:21" x14ac:dyDescent="0.25">
      <c r="U521" s="129"/>
    </row>
    <row r="522" spans="21:21" x14ac:dyDescent="0.25">
      <c r="U522" s="129"/>
    </row>
    <row r="523" spans="21:21" x14ac:dyDescent="0.25">
      <c r="U523" s="129"/>
    </row>
    <row r="524" spans="21:21" x14ac:dyDescent="0.25">
      <c r="U524" s="129"/>
    </row>
    <row r="525" spans="21:21" x14ac:dyDescent="0.25">
      <c r="U525" s="129"/>
    </row>
    <row r="526" spans="21:21" x14ac:dyDescent="0.25">
      <c r="U526" s="129"/>
    </row>
    <row r="527" spans="21:21" x14ac:dyDescent="0.25">
      <c r="U527" s="129"/>
    </row>
    <row r="528" spans="21:21" x14ac:dyDescent="0.25">
      <c r="U528" s="129"/>
    </row>
    <row r="529" spans="21:21" x14ac:dyDescent="0.25">
      <c r="U529" s="129"/>
    </row>
    <row r="530" spans="21:21" x14ac:dyDescent="0.25">
      <c r="U530" s="129"/>
    </row>
    <row r="531" spans="21:21" x14ac:dyDescent="0.25">
      <c r="U531" s="129"/>
    </row>
    <row r="532" spans="21:21" x14ac:dyDescent="0.25">
      <c r="U532" s="129"/>
    </row>
    <row r="533" spans="21:21" x14ac:dyDescent="0.25">
      <c r="U533" s="129"/>
    </row>
    <row r="534" spans="21:21" x14ac:dyDescent="0.25">
      <c r="U534" s="129"/>
    </row>
    <row r="535" spans="21:21" x14ac:dyDescent="0.25">
      <c r="U535" s="129"/>
    </row>
    <row r="536" spans="21:21" x14ac:dyDescent="0.25">
      <c r="U536" s="129"/>
    </row>
    <row r="537" spans="21:21" x14ac:dyDescent="0.25">
      <c r="U537" s="129"/>
    </row>
    <row r="538" spans="21:21" x14ac:dyDescent="0.25">
      <c r="U538" s="129"/>
    </row>
    <row r="539" spans="21:21" x14ac:dyDescent="0.25">
      <c r="U539" s="129"/>
    </row>
    <row r="540" spans="21:21" x14ac:dyDescent="0.25">
      <c r="U540" s="129"/>
    </row>
    <row r="541" spans="21:21" x14ac:dyDescent="0.25">
      <c r="U541" s="129"/>
    </row>
    <row r="542" spans="21:21" x14ac:dyDescent="0.25">
      <c r="U542" s="129"/>
    </row>
    <row r="543" spans="21:21" x14ac:dyDescent="0.25">
      <c r="U543" s="129"/>
    </row>
    <row r="544" spans="21:21" x14ac:dyDescent="0.25">
      <c r="U544" s="129"/>
    </row>
    <row r="545" spans="21:21" x14ac:dyDescent="0.25">
      <c r="U545" s="129"/>
    </row>
    <row r="546" spans="21:21" x14ac:dyDescent="0.25">
      <c r="U546" s="129"/>
    </row>
    <row r="547" spans="21:21" x14ac:dyDescent="0.25">
      <c r="U547" s="129"/>
    </row>
    <row r="548" spans="21:21" x14ac:dyDescent="0.25">
      <c r="U548" s="129"/>
    </row>
    <row r="549" spans="21:21" x14ac:dyDescent="0.25">
      <c r="U549" s="129"/>
    </row>
    <row r="550" spans="21:21" x14ac:dyDescent="0.25">
      <c r="U550" s="129"/>
    </row>
    <row r="551" spans="21:21" x14ac:dyDescent="0.25">
      <c r="U551" s="129"/>
    </row>
    <row r="552" spans="21:21" x14ac:dyDescent="0.25">
      <c r="U552" s="129"/>
    </row>
    <row r="553" spans="21:21" x14ac:dyDescent="0.25">
      <c r="U553" s="129"/>
    </row>
    <row r="554" spans="21:21" x14ac:dyDescent="0.25">
      <c r="U554" s="129"/>
    </row>
    <row r="555" spans="21:21" x14ac:dyDescent="0.25">
      <c r="U555" s="129"/>
    </row>
    <row r="556" spans="21:21" x14ac:dyDescent="0.25">
      <c r="U556" s="129"/>
    </row>
    <row r="557" spans="21:21" x14ac:dyDescent="0.25">
      <c r="U557" s="129"/>
    </row>
    <row r="558" spans="21:21" x14ac:dyDescent="0.25">
      <c r="U558" s="129"/>
    </row>
    <row r="559" spans="21:21" x14ac:dyDescent="0.25">
      <c r="U559" s="129"/>
    </row>
    <row r="560" spans="21:21" x14ac:dyDescent="0.25">
      <c r="U560" s="129"/>
    </row>
    <row r="561" spans="21:21" x14ac:dyDescent="0.25">
      <c r="U561" s="129"/>
    </row>
    <row r="562" spans="21:21" x14ac:dyDescent="0.25">
      <c r="U562" s="129"/>
    </row>
    <row r="563" spans="21:21" x14ac:dyDescent="0.25">
      <c r="U563" s="129"/>
    </row>
    <row r="564" spans="21:21" x14ac:dyDescent="0.25">
      <c r="U564" s="129"/>
    </row>
    <row r="565" spans="21:21" x14ac:dyDescent="0.25">
      <c r="U565" s="129"/>
    </row>
    <row r="566" spans="21:21" x14ac:dyDescent="0.25">
      <c r="U566" s="129"/>
    </row>
    <row r="567" spans="21:21" x14ac:dyDescent="0.25">
      <c r="U567" s="129"/>
    </row>
    <row r="568" spans="21:21" x14ac:dyDescent="0.25">
      <c r="U568" s="129"/>
    </row>
    <row r="569" spans="21:21" x14ac:dyDescent="0.25">
      <c r="U569" s="129"/>
    </row>
    <row r="570" spans="21:21" x14ac:dyDescent="0.25">
      <c r="U570" s="129"/>
    </row>
    <row r="571" spans="21:21" x14ac:dyDescent="0.25">
      <c r="U571" s="129"/>
    </row>
    <row r="572" spans="21:21" x14ac:dyDescent="0.25">
      <c r="U572" s="129"/>
    </row>
    <row r="573" spans="21:21" x14ac:dyDescent="0.25">
      <c r="U573" s="129"/>
    </row>
    <row r="574" spans="21:21" x14ac:dyDescent="0.25">
      <c r="U574" s="129"/>
    </row>
    <row r="575" spans="21:21" x14ac:dyDescent="0.25">
      <c r="U575" s="129"/>
    </row>
    <row r="576" spans="21:21" x14ac:dyDescent="0.25">
      <c r="U576" s="129"/>
    </row>
    <row r="577" spans="21:21" x14ac:dyDescent="0.25">
      <c r="U577" s="129"/>
    </row>
    <row r="578" spans="21:21" x14ac:dyDescent="0.25">
      <c r="U578" s="129"/>
    </row>
    <row r="579" spans="21:21" x14ac:dyDescent="0.25">
      <c r="U579" s="129"/>
    </row>
    <row r="580" spans="21:21" x14ac:dyDescent="0.25">
      <c r="U580" s="129"/>
    </row>
    <row r="581" spans="21:21" x14ac:dyDescent="0.25">
      <c r="U581" s="129"/>
    </row>
    <row r="582" spans="21:21" x14ac:dyDescent="0.25">
      <c r="U582" s="129"/>
    </row>
    <row r="583" spans="21:21" x14ac:dyDescent="0.25">
      <c r="U583" s="129"/>
    </row>
    <row r="584" spans="21:21" x14ac:dyDescent="0.25">
      <c r="U584" s="129"/>
    </row>
    <row r="585" spans="21:21" x14ac:dyDescent="0.25">
      <c r="U585" s="129"/>
    </row>
    <row r="586" spans="21:21" x14ac:dyDescent="0.25">
      <c r="U586" s="129"/>
    </row>
    <row r="587" spans="21:21" x14ac:dyDescent="0.25">
      <c r="U587" s="129"/>
    </row>
    <row r="588" spans="21:21" x14ac:dyDescent="0.25">
      <c r="U588" s="129"/>
    </row>
    <row r="589" spans="21:21" x14ac:dyDescent="0.25">
      <c r="U589" s="129"/>
    </row>
    <row r="590" spans="21:21" x14ac:dyDescent="0.25">
      <c r="U590" s="129"/>
    </row>
    <row r="591" spans="21:21" x14ac:dyDescent="0.25">
      <c r="U591" s="129"/>
    </row>
    <row r="592" spans="21:21" x14ac:dyDescent="0.25">
      <c r="U592" s="129"/>
    </row>
    <row r="593" spans="21:21" x14ac:dyDescent="0.25">
      <c r="U593" s="129"/>
    </row>
    <row r="594" spans="21:21" x14ac:dyDescent="0.25">
      <c r="U594" s="129"/>
    </row>
    <row r="595" spans="21:21" x14ac:dyDescent="0.25">
      <c r="U595" s="129"/>
    </row>
    <row r="596" spans="21:21" x14ac:dyDescent="0.25">
      <c r="U596" s="129"/>
    </row>
    <row r="597" spans="21:21" x14ac:dyDescent="0.25">
      <c r="U597" s="129"/>
    </row>
    <row r="598" spans="21:21" x14ac:dyDescent="0.25">
      <c r="U598" s="129"/>
    </row>
    <row r="599" spans="21:21" x14ac:dyDescent="0.25">
      <c r="U599" s="129"/>
    </row>
    <row r="600" spans="21:21" x14ac:dyDescent="0.25">
      <c r="U600" s="129"/>
    </row>
    <row r="601" spans="21:21" x14ac:dyDescent="0.25">
      <c r="U601" s="129"/>
    </row>
    <row r="602" spans="21:21" x14ac:dyDescent="0.25">
      <c r="U602" s="129"/>
    </row>
    <row r="603" spans="21:21" x14ac:dyDescent="0.25">
      <c r="U603" s="129"/>
    </row>
    <row r="604" spans="21:21" x14ac:dyDescent="0.25">
      <c r="U604" s="129"/>
    </row>
    <row r="605" spans="21:21" x14ac:dyDescent="0.25">
      <c r="U605" s="129"/>
    </row>
    <row r="606" spans="21:21" x14ac:dyDescent="0.25">
      <c r="U606" s="129"/>
    </row>
    <row r="607" spans="21:21" x14ac:dyDescent="0.25">
      <c r="U607" s="129"/>
    </row>
    <row r="608" spans="21:21" x14ac:dyDescent="0.25">
      <c r="U608" s="129"/>
    </row>
    <row r="609" spans="21:21" x14ac:dyDescent="0.25">
      <c r="U609" s="129"/>
    </row>
    <row r="610" spans="21:21" x14ac:dyDescent="0.25">
      <c r="U610" s="129"/>
    </row>
    <row r="611" spans="21:21" x14ac:dyDescent="0.25">
      <c r="U611" s="129"/>
    </row>
    <row r="612" spans="21:21" x14ac:dyDescent="0.25">
      <c r="U612" s="129"/>
    </row>
    <row r="613" spans="21:21" x14ac:dyDescent="0.25">
      <c r="U613" s="129"/>
    </row>
    <row r="614" spans="21:21" x14ac:dyDescent="0.25">
      <c r="U614" s="129"/>
    </row>
    <row r="615" spans="21:21" x14ac:dyDescent="0.25">
      <c r="U615" s="129"/>
    </row>
    <row r="616" spans="21:21" x14ac:dyDescent="0.25">
      <c r="U616" s="129"/>
    </row>
    <row r="617" spans="21:21" x14ac:dyDescent="0.25">
      <c r="U617" s="129"/>
    </row>
    <row r="618" spans="21:21" x14ac:dyDescent="0.25">
      <c r="U618" s="129"/>
    </row>
    <row r="619" spans="21:21" x14ac:dyDescent="0.25">
      <c r="U619" s="129"/>
    </row>
    <row r="620" spans="21:21" x14ac:dyDescent="0.25">
      <c r="U620" s="129"/>
    </row>
    <row r="621" spans="21:21" x14ac:dyDescent="0.25">
      <c r="U621" s="129"/>
    </row>
    <row r="622" spans="21:21" x14ac:dyDescent="0.25">
      <c r="U622" s="129"/>
    </row>
    <row r="623" spans="21:21" x14ac:dyDescent="0.25">
      <c r="U623" s="129"/>
    </row>
    <row r="624" spans="21:21" x14ac:dyDescent="0.25">
      <c r="U624" s="129"/>
    </row>
    <row r="625" spans="21:21" x14ac:dyDescent="0.25">
      <c r="U625" s="129"/>
    </row>
    <row r="626" spans="21:21" x14ac:dyDescent="0.25">
      <c r="U626" s="129"/>
    </row>
    <row r="627" spans="21:21" x14ac:dyDescent="0.25">
      <c r="U627" s="129"/>
    </row>
    <row r="628" spans="21:21" x14ac:dyDescent="0.25">
      <c r="U628" s="129"/>
    </row>
    <row r="629" spans="21:21" x14ac:dyDescent="0.25">
      <c r="U629" s="129"/>
    </row>
    <row r="630" spans="21:21" x14ac:dyDescent="0.25">
      <c r="U630" s="129"/>
    </row>
    <row r="631" spans="21:21" x14ac:dyDescent="0.25">
      <c r="U631" s="129"/>
    </row>
    <row r="632" spans="21:21" x14ac:dyDescent="0.25">
      <c r="U632" s="129"/>
    </row>
    <row r="633" spans="21:21" x14ac:dyDescent="0.25">
      <c r="U633" s="129"/>
    </row>
    <row r="634" spans="21:21" x14ac:dyDescent="0.25">
      <c r="U634" s="129"/>
    </row>
    <row r="635" spans="21:21" x14ac:dyDescent="0.25">
      <c r="U635" s="129"/>
    </row>
    <row r="636" spans="21:21" x14ac:dyDescent="0.25">
      <c r="U636" s="129"/>
    </row>
    <row r="637" spans="21:21" x14ac:dyDescent="0.25">
      <c r="U637" s="129"/>
    </row>
    <row r="638" spans="21:21" x14ac:dyDescent="0.25">
      <c r="U638" s="129"/>
    </row>
    <row r="639" spans="21:21" x14ac:dyDescent="0.25">
      <c r="U639" s="129"/>
    </row>
    <row r="640" spans="21:21" x14ac:dyDescent="0.25">
      <c r="U640" s="129"/>
    </row>
    <row r="641" spans="21:21" x14ac:dyDescent="0.25">
      <c r="U641" s="129"/>
    </row>
    <row r="642" spans="21:21" x14ac:dyDescent="0.25">
      <c r="U642" s="129"/>
    </row>
    <row r="643" spans="21:21" x14ac:dyDescent="0.25">
      <c r="U643" s="129"/>
    </row>
    <row r="644" spans="21:21" x14ac:dyDescent="0.25">
      <c r="U644" s="129"/>
    </row>
    <row r="645" spans="21:21" x14ac:dyDescent="0.25">
      <c r="U645" s="129"/>
    </row>
    <row r="646" spans="21:21" x14ac:dyDescent="0.25">
      <c r="U646" s="129"/>
    </row>
    <row r="647" spans="21:21" x14ac:dyDescent="0.25">
      <c r="U647" s="129"/>
    </row>
    <row r="648" spans="21:21" x14ac:dyDescent="0.25">
      <c r="U648" s="129"/>
    </row>
    <row r="649" spans="21:21" x14ac:dyDescent="0.25">
      <c r="U649" s="129"/>
    </row>
    <row r="650" spans="21:21" x14ac:dyDescent="0.25">
      <c r="U650" s="129"/>
    </row>
    <row r="651" spans="21:21" x14ac:dyDescent="0.25">
      <c r="U651" s="129"/>
    </row>
    <row r="652" spans="21:21" x14ac:dyDescent="0.25">
      <c r="U652" s="129"/>
    </row>
    <row r="653" spans="21:21" x14ac:dyDescent="0.25">
      <c r="U653" s="129"/>
    </row>
    <row r="654" spans="21:21" x14ac:dyDescent="0.25">
      <c r="U654" s="129"/>
    </row>
    <row r="655" spans="21:21" x14ac:dyDescent="0.25">
      <c r="U655" s="129"/>
    </row>
    <row r="656" spans="21:21" x14ac:dyDescent="0.25">
      <c r="U656" s="129"/>
    </row>
    <row r="657" spans="21:21" x14ac:dyDescent="0.25">
      <c r="U657" s="129"/>
    </row>
    <row r="658" spans="21:21" x14ac:dyDescent="0.25">
      <c r="U658" s="129"/>
    </row>
    <row r="659" spans="21:21" x14ac:dyDescent="0.25">
      <c r="U659" s="129"/>
    </row>
    <row r="660" spans="21:21" x14ac:dyDescent="0.25">
      <c r="U660" s="129"/>
    </row>
    <row r="661" spans="21:21" x14ac:dyDescent="0.25">
      <c r="U661" s="129"/>
    </row>
    <row r="662" spans="21:21" x14ac:dyDescent="0.25">
      <c r="U662" s="129"/>
    </row>
    <row r="663" spans="21:21" x14ac:dyDescent="0.25">
      <c r="U663" s="129"/>
    </row>
    <row r="664" spans="21:21" x14ac:dyDescent="0.25">
      <c r="U664" s="129"/>
    </row>
    <row r="665" spans="21:21" x14ac:dyDescent="0.25">
      <c r="U665" s="129"/>
    </row>
    <row r="666" spans="21:21" x14ac:dyDescent="0.25">
      <c r="U666" s="129"/>
    </row>
    <row r="667" spans="21:21" x14ac:dyDescent="0.25">
      <c r="U667" s="129"/>
    </row>
    <row r="668" spans="21:21" x14ac:dyDescent="0.25">
      <c r="U668" s="129"/>
    </row>
    <row r="669" spans="21:21" x14ac:dyDescent="0.25">
      <c r="U669" s="129"/>
    </row>
    <row r="670" spans="21:21" x14ac:dyDescent="0.25">
      <c r="U670" s="129"/>
    </row>
    <row r="671" spans="21:21" x14ac:dyDescent="0.25">
      <c r="U671" s="129"/>
    </row>
    <row r="672" spans="21:21" x14ac:dyDescent="0.25">
      <c r="U672" s="129"/>
    </row>
    <row r="673" spans="21:21" x14ac:dyDescent="0.25">
      <c r="U673" s="129"/>
    </row>
    <row r="674" spans="21:21" x14ac:dyDescent="0.25">
      <c r="U674" s="129"/>
    </row>
    <row r="675" spans="21:21" x14ac:dyDescent="0.25">
      <c r="U675" s="129"/>
    </row>
    <row r="676" spans="21:21" x14ac:dyDescent="0.25">
      <c r="U676" s="129"/>
    </row>
    <row r="677" spans="21:21" x14ac:dyDescent="0.25">
      <c r="U677" s="129"/>
    </row>
    <row r="678" spans="21:21" x14ac:dyDescent="0.25">
      <c r="U678" s="129"/>
    </row>
    <row r="679" spans="21:21" x14ac:dyDescent="0.25">
      <c r="U679" s="129"/>
    </row>
    <row r="680" spans="21:21" x14ac:dyDescent="0.25">
      <c r="U680" s="129"/>
    </row>
    <row r="681" spans="21:21" x14ac:dyDescent="0.25">
      <c r="U681" s="129"/>
    </row>
    <row r="682" spans="21:21" x14ac:dyDescent="0.25">
      <c r="U682" s="129"/>
    </row>
    <row r="683" spans="21:21" x14ac:dyDescent="0.25">
      <c r="U683" s="129"/>
    </row>
    <row r="684" spans="21:21" x14ac:dyDescent="0.25">
      <c r="U684" s="129"/>
    </row>
    <row r="685" spans="21:21" x14ac:dyDescent="0.25">
      <c r="U685" s="129"/>
    </row>
    <row r="686" spans="21:21" x14ac:dyDescent="0.25">
      <c r="U686" s="129"/>
    </row>
    <row r="687" spans="21:21" x14ac:dyDescent="0.25">
      <c r="U687" s="129"/>
    </row>
    <row r="688" spans="21:21" x14ac:dyDescent="0.25">
      <c r="U688" s="129"/>
    </row>
    <row r="689" spans="21:21" x14ac:dyDescent="0.25">
      <c r="U689" s="129"/>
    </row>
    <row r="690" spans="21:21" x14ac:dyDescent="0.25">
      <c r="U690" s="129"/>
    </row>
    <row r="691" spans="21:21" x14ac:dyDescent="0.25">
      <c r="U691" s="129"/>
    </row>
    <row r="692" spans="21:21" x14ac:dyDescent="0.25">
      <c r="U692" s="129"/>
    </row>
    <row r="693" spans="21:21" x14ac:dyDescent="0.25">
      <c r="U693" s="129"/>
    </row>
    <row r="694" spans="21:21" x14ac:dyDescent="0.25">
      <c r="U694" s="129"/>
    </row>
    <row r="695" spans="21:21" x14ac:dyDescent="0.25">
      <c r="U695" s="129"/>
    </row>
    <row r="696" spans="21:21" x14ac:dyDescent="0.25">
      <c r="U696" s="129"/>
    </row>
    <row r="697" spans="21:21" x14ac:dyDescent="0.25">
      <c r="U697" s="129"/>
    </row>
    <row r="698" spans="21:21" x14ac:dyDescent="0.25">
      <c r="U698" s="129"/>
    </row>
    <row r="699" spans="21:21" x14ac:dyDescent="0.25">
      <c r="U699" s="129"/>
    </row>
    <row r="700" spans="21:21" x14ac:dyDescent="0.25">
      <c r="U700" s="129"/>
    </row>
    <row r="701" spans="21:21" x14ac:dyDescent="0.25">
      <c r="U701" s="129"/>
    </row>
    <row r="702" spans="21:21" x14ac:dyDescent="0.25">
      <c r="U702" s="129"/>
    </row>
    <row r="703" spans="21:21" x14ac:dyDescent="0.25">
      <c r="U703" s="129"/>
    </row>
    <row r="704" spans="21:21" x14ac:dyDescent="0.25">
      <c r="U704" s="129"/>
    </row>
    <row r="705" spans="21:21" x14ac:dyDescent="0.25">
      <c r="U705" s="129"/>
    </row>
    <row r="706" spans="21:21" x14ac:dyDescent="0.25">
      <c r="U706" s="129"/>
    </row>
    <row r="707" spans="21:21" x14ac:dyDescent="0.25">
      <c r="U707" s="129"/>
    </row>
    <row r="708" spans="21:21" x14ac:dyDescent="0.25">
      <c r="U708" s="129"/>
    </row>
    <row r="709" spans="21:21" x14ac:dyDescent="0.25">
      <c r="U709" s="129"/>
    </row>
    <row r="710" spans="21:21" x14ac:dyDescent="0.25">
      <c r="U710" s="129"/>
    </row>
    <row r="711" spans="21:21" x14ac:dyDescent="0.25">
      <c r="U711" s="129"/>
    </row>
    <row r="712" spans="21:21" x14ac:dyDescent="0.25">
      <c r="U712" s="129"/>
    </row>
    <row r="713" spans="21:21" x14ac:dyDescent="0.25">
      <c r="U713" s="129"/>
    </row>
    <row r="714" spans="21:21" x14ac:dyDescent="0.25">
      <c r="U714" s="129"/>
    </row>
    <row r="715" spans="21:21" x14ac:dyDescent="0.25">
      <c r="U715" s="129"/>
    </row>
    <row r="716" spans="21:21" x14ac:dyDescent="0.25">
      <c r="U716" s="129"/>
    </row>
    <row r="717" spans="21:21" x14ac:dyDescent="0.25">
      <c r="U717" s="129"/>
    </row>
    <row r="718" spans="21:21" x14ac:dyDescent="0.25">
      <c r="U718" s="129"/>
    </row>
    <row r="719" spans="21:21" x14ac:dyDescent="0.25">
      <c r="U719" s="129"/>
    </row>
    <row r="720" spans="21:21" x14ac:dyDescent="0.25">
      <c r="U720" s="129"/>
    </row>
    <row r="721" spans="21:21" x14ac:dyDescent="0.25">
      <c r="U721" s="129"/>
    </row>
    <row r="722" spans="21:21" x14ac:dyDescent="0.25">
      <c r="U722" s="129"/>
    </row>
    <row r="723" spans="21:21" x14ac:dyDescent="0.25">
      <c r="U723" s="129"/>
    </row>
    <row r="724" spans="21:21" x14ac:dyDescent="0.25">
      <c r="U724" s="129"/>
    </row>
    <row r="725" spans="21:21" x14ac:dyDescent="0.25">
      <c r="U725" s="129"/>
    </row>
    <row r="726" spans="21:21" x14ac:dyDescent="0.25">
      <c r="U726" s="129"/>
    </row>
    <row r="727" spans="21:21" x14ac:dyDescent="0.25">
      <c r="U727" s="129"/>
    </row>
    <row r="728" spans="21:21" x14ac:dyDescent="0.25">
      <c r="U728" s="129"/>
    </row>
    <row r="729" spans="21:21" x14ac:dyDescent="0.25">
      <c r="U729" s="129"/>
    </row>
    <row r="730" spans="21:21" x14ac:dyDescent="0.25">
      <c r="U730" s="129"/>
    </row>
    <row r="731" spans="21:21" x14ac:dyDescent="0.25">
      <c r="U731" s="129"/>
    </row>
    <row r="732" spans="21:21" x14ac:dyDescent="0.25">
      <c r="U732" s="129"/>
    </row>
    <row r="733" spans="21:21" x14ac:dyDescent="0.25">
      <c r="U733" s="129"/>
    </row>
    <row r="734" spans="21:21" x14ac:dyDescent="0.25">
      <c r="U734" s="129"/>
    </row>
    <row r="735" spans="21:21" x14ac:dyDescent="0.25">
      <c r="U735" s="129"/>
    </row>
    <row r="736" spans="21:21" x14ac:dyDescent="0.25">
      <c r="U736" s="129"/>
    </row>
    <row r="737" spans="21:21" x14ac:dyDescent="0.25">
      <c r="U737" s="129"/>
    </row>
    <row r="738" spans="21:21" x14ac:dyDescent="0.25">
      <c r="U738" s="129"/>
    </row>
    <row r="739" spans="21:21" x14ac:dyDescent="0.25">
      <c r="U739" s="129"/>
    </row>
    <row r="740" spans="21:21" x14ac:dyDescent="0.25">
      <c r="U740" s="129"/>
    </row>
    <row r="741" spans="21:21" x14ac:dyDescent="0.25">
      <c r="U741" s="129"/>
    </row>
    <row r="742" spans="21:21" x14ac:dyDescent="0.25">
      <c r="U742" s="129"/>
    </row>
    <row r="743" spans="21:21" x14ac:dyDescent="0.25">
      <c r="U743" s="129"/>
    </row>
    <row r="744" spans="21:21" x14ac:dyDescent="0.25">
      <c r="U744" s="129"/>
    </row>
    <row r="745" spans="21:21" x14ac:dyDescent="0.25">
      <c r="U745" s="129"/>
    </row>
    <row r="746" spans="21:21" x14ac:dyDescent="0.25">
      <c r="U746" s="129"/>
    </row>
    <row r="747" spans="21:21" x14ac:dyDescent="0.25">
      <c r="U747" s="129"/>
    </row>
    <row r="748" spans="21:21" x14ac:dyDescent="0.25">
      <c r="U748" s="129"/>
    </row>
    <row r="749" spans="21:21" x14ac:dyDescent="0.25">
      <c r="U749" s="129"/>
    </row>
    <row r="750" spans="21:21" x14ac:dyDescent="0.25">
      <c r="U750" s="129"/>
    </row>
    <row r="751" spans="21:21" x14ac:dyDescent="0.25">
      <c r="U751" s="129"/>
    </row>
    <row r="752" spans="21:21" x14ac:dyDescent="0.25">
      <c r="U752" s="129"/>
    </row>
    <row r="753" spans="21:21" x14ac:dyDescent="0.25">
      <c r="U753" s="129"/>
    </row>
    <row r="754" spans="21:21" x14ac:dyDescent="0.25">
      <c r="U754" s="129"/>
    </row>
    <row r="755" spans="21:21" x14ac:dyDescent="0.25">
      <c r="U755" s="129"/>
    </row>
    <row r="756" spans="21:21" x14ac:dyDescent="0.25">
      <c r="U756" s="129"/>
    </row>
    <row r="757" spans="21:21" x14ac:dyDescent="0.25">
      <c r="U757" s="129"/>
    </row>
    <row r="758" spans="21:21" x14ac:dyDescent="0.25">
      <c r="U758" s="129"/>
    </row>
    <row r="759" spans="21:21" x14ac:dyDescent="0.25">
      <c r="U759" s="129"/>
    </row>
    <row r="760" spans="21:21" x14ac:dyDescent="0.25">
      <c r="U760" s="129"/>
    </row>
    <row r="761" spans="21:21" x14ac:dyDescent="0.25">
      <c r="U761" s="129"/>
    </row>
    <row r="762" spans="21:21" x14ac:dyDescent="0.25">
      <c r="U762" s="129"/>
    </row>
    <row r="763" spans="21:21" x14ac:dyDescent="0.25">
      <c r="U763" s="129"/>
    </row>
    <row r="764" spans="21:21" x14ac:dyDescent="0.25">
      <c r="U764" s="129"/>
    </row>
    <row r="765" spans="21:21" x14ac:dyDescent="0.25">
      <c r="U765" s="129"/>
    </row>
    <row r="766" spans="21:21" x14ac:dyDescent="0.25">
      <c r="U766" s="129"/>
    </row>
    <row r="767" spans="21:21" x14ac:dyDescent="0.25">
      <c r="U767" s="129"/>
    </row>
    <row r="768" spans="21:21" x14ac:dyDescent="0.25">
      <c r="U768" s="129"/>
    </row>
    <row r="769" spans="21:21" x14ac:dyDescent="0.25">
      <c r="U769" s="129"/>
    </row>
    <row r="770" spans="21:21" x14ac:dyDescent="0.25">
      <c r="U770" s="129"/>
    </row>
    <row r="771" spans="21:21" x14ac:dyDescent="0.25">
      <c r="U771" s="129"/>
    </row>
    <row r="772" spans="21:21" x14ac:dyDescent="0.25">
      <c r="U772" s="129"/>
    </row>
    <row r="773" spans="21:21" x14ac:dyDescent="0.25">
      <c r="U773" s="129"/>
    </row>
    <row r="774" spans="21:21" x14ac:dyDescent="0.25">
      <c r="U774" s="129"/>
    </row>
    <row r="775" spans="21:21" x14ac:dyDescent="0.25">
      <c r="U775" s="129"/>
    </row>
    <row r="776" spans="21:21" x14ac:dyDescent="0.25">
      <c r="U776" s="129"/>
    </row>
    <row r="777" spans="21:21" x14ac:dyDescent="0.25">
      <c r="U777" s="129"/>
    </row>
    <row r="778" spans="21:21" x14ac:dyDescent="0.25">
      <c r="U778" s="129"/>
    </row>
    <row r="779" spans="21:21" x14ac:dyDescent="0.25">
      <c r="U779" s="129"/>
    </row>
    <row r="780" spans="21:21" x14ac:dyDescent="0.25">
      <c r="U780" s="129"/>
    </row>
    <row r="781" spans="21:21" x14ac:dyDescent="0.25">
      <c r="U781" s="129"/>
    </row>
    <row r="782" spans="21:21" x14ac:dyDescent="0.25">
      <c r="U782" s="129"/>
    </row>
    <row r="783" spans="21:21" x14ac:dyDescent="0.25">
      <c r="U783" s="129"/>
    </row>
    <row r="784" spans="21:21" x14ac:dyDescent="0.25">
      <c r="U784" s="129"/>
    </row>
    <row r="785" spans="21:21" x14ac:dyDescent="0.25">
      <c r="U785" s="129"/>
    </row>
    <row r="786" spans="21:21" x14ac:dyDescent="0.25">
      <c r="U786" s="129"/>
    </row>
    <row r="787" spans="21:21" x14ac:dyDescent="0.25">
      <c r="U787" s="129"/>
    </row>
    <row r="788" spans="21:21" x14ac:dyDescent="0.25">
      <c r="U788" s="129"/>
    </row>
    <row r="789" spans="21:21" x14ac:dyDescent="0.25">
      <c r="U789" s="129"/>
    </row>
    <row r="790" spans="21:21" x14ac:dyDescent="0.25">
      <c r="U790" s="129"/>
    </row>
    <row r="791" spans="21:21" x14ac:dyDescent="0.25">
      <c r="U791" s="129"/>
    </row>
    <row r="792" spans="21:21" x14ac:dyDescent="0.25">
      <c r="U792" s="129"/>
    </row>
    <row r="793" spans="21:21" x14ac:dyDescent="0.25">
      <c r="U793" s="129"/>
    </row>
    <row r="794" spans="21:21" x14ac:dyDescent="0.25">
      <c r="U794" s="129"/>
    </row>
    <row r="795" spans="21:21" x14ac:dyDescent="0.25">
      <c r="U795" s="129"/>
    </row>
    <row r="796" spans="21:21" x14ac:dyDescent="0.25">
      <c r="U796" s="129"/>
    </row>
    <row r="797" spans="21:21" x14ac:dyDescent="0.25">
      <c r="U797" s="129"/>
    </row>
    <row r="798" spans="21:21" x14ac:dyDescent="0.25">
      <c r="U798" s="129"/>
    </row>
    <row r="799" spans="21:21" x14ac:dyDescent="0.25">
      <c r="U799" s="129"/>
    </row>
    <row r="800" spans="21:21" x14ac:dyDescent="0.25">
      <c r="U800" s="129"/>
    </row>
    <row r="801" spans="21:21" x14ac:dyDescent="0.25">
      <c r="U801" s="129"/>
    </row>
    <row r="802" spans="21:21" x14ac:dyDescent="0.25">
      <c r="U802" s="129"/>
    </row>
    <row r="803" spans="21:21" x14ac:dyDescent="0.25">
      <c r="U803" s="129"/>
    </row>
    <row r="804" spans="21:21" x14ac:dyDescent="0.25">
      <c r="U804" s="129"/>
    </row>
    <row r="805" spans="21:21" x14ac:dyDescent="0.25">
      <c r="U805" s="129"/>
    </row>
    <row r="806" spans="21:21" x14ac:dyDescent="0.25">
      <c r="U806" s="129"/>
    </row>
    <row r="807" spans="21:21" x14ac:dyDescent="0.25">
      <c r="U807" s="129"/>
    </row>
    <row r="808" spans="21:21" x14ac:dyDescent="0.25">
      <c r="U808" s="129"/>
    </row>
    <row r="809" spans="21:21" x14ac:dyDescent="0.25">
      <c r="U809" s="129"/>
    </row>
    <row r="810" spans="21:21" x14ac:dyDescent="0.25">
      <c r="U810" s="129"/>
    </row>
    <row r="811" spans="21:21" x14ac:dyDescent="0.25">
      <c r="U811" s="129"/>
    </row>
    <row r="812" spans="21:21" x14ac:dyDescent="0.25">
      <c r="U812" s="129"/>
    </row>
    <row r="813" spans="21:21" x14ac:dyDescent="0.25">
      <c r="U813" s="129"/>
    </row>
    <row r="814" spans="21:21" x14ac:dyDescent="0.25">
      <c r="U814" s="129"/>
    </row>
    <row r="815" spans="21:21" x14ac:dyDescent="0.25">
      <c r="U815" s="129"/>
    </row>
    <row r="816" spans="21:21" x14ac:dyDescent="0.25">
      <c r="U816" s="129"/>
    </row>
    <row r="817" spans="21:21" x14ac:dyDescent="0.25">
      <c r="U817" s="129"/>
    </row>
    <row r="818" spans="21:21" x14ac:dyDescent="0.25">
      <c r="U818" s="129"/>
    </row>
    <row r="819" spans="21:21" x14ac:dyDescent="0.25">
      <c r="U819" s="129"/>
    </row>
    <row r="820" spans="21:21" x14ac:dyDescent="0.25">
      <c r="U820" s="129"/>
    </row>
    <row r="821" spans="21:21" x14ac:dyDescent="0.25">
      <c r="U821" s="129"/>
    </row>
    <row r="822" spans="21:21" x14ac:dyDescent="0.25">
      <c r="U822" s="129"/>
    </row>
    <row r="823" spans="21:21" x14ac:dyDescent="0.25">
      <c r="U823" s="129"/>
    </row>
    <row r="824" spans="21:21" x14ac:dyDescent="0.25">
      <c r="U824" s="129"/>
    </row>
    <row r="825" spans="21:21" x14ac:dyDescent="0.25">
      <c r="U825" s="129"/>
    </row>
    <row r="826" spans="21:21" x14ac:dyDescent="0.25">
      <c r="U826" s="129"/>
    </row>
    <row r="827" spans="21:21" x14ac:dyDescent="0.25">
      <c r="U827" s="129"/>
    </row>
    <row r="828" spans="21:21" x14ac:dyDescent="0.25">
      <c r="U828" s="129"/>
    </row>
    <row r="829" spans="21:21" x14ac:dyDescent="0.25">
      <c r="U829" s="129"/>
    </row>
    <row r="830" spans="21:21" x14ac:dyDescent="0.25">
      <c r="U830" s="129"/>
    </row>
    <row r="831" spans="21:21" x14ac:dyDescent="0.25">
      <c r="U831" s="129"/>
    </row>
    <row r="832" spans="21:21" x14ac:dyDescent="0.25">
      <c r="U832" s="129"/>
    </row>
    <row r="833" spans="21:21" x14ac:dyDescent="0.25">
      <c r="U833" s="129"/>
    </row>
    <row r="834" spans="21:21" x14ac:dyDescent="0.25">
      <c r="U834" s="129"/>
    </row>
    <row r="835" spans="21:21" x14ac:dyDescent="0.25">
      <c r="U835" s="129"/>
    </row>
    <row r="836" spans="21:21" x14ac:dyDescent="0.25">
      <c r="U836" s="129"/>
    </row>
    <row r="837" spans="21:21" x14ac:dyDescent="0.25">
      <c r="U837" s="129"/>
    </row>
    <row r="838" spans="21:21" x14ac:dyDescent="0.25">
      <c r="U838" s="129"/>
    </row>
    <row r="839" spans="21:21" x14ac:dyDescent="0.25">
      <c r="U839" s="129"/>
    </row>
    <row r="840" spans="21:21" x14ac:dyDescent="0.25">
      <c r="U840" s="129"/>
    </row>
    <row r="841" spans="21:21" x14ac:dyDescent="0.25">
      <c r="U841" s="129"/>
    </row>
    <row r="842" spans="21:21" x14ac:dyDescent="0.25">
      <c r="U842" s="129"/>
    </row>
    <row r="843" spans="21:21" x14ac:dyDescent="0.25">
      <c r="U843" s="129"/>
    </row>
    <row r="844" spans="21:21" x14ac:dyDescent="0.25">
      <c r="U844" s="129"/>
    </row>
    <row r="845" spans="21:21" x14ac:dyDescent="0.25">
      <c r="U845" s="129"/>
    </row>
    <row r="846" spans="21:21" x14ac:dyDescent="0.25">
      <c r="U846" s="129"/>
    </row>
    <row r="847" spans="21:21" x14ac:dyDescent="0.25">
      <c r="U847" s="129"/>
    </row>
    <row r="848" spans="21:21" x14ac:dyDescent="0.25">
      <c r="U848" s="129"/>
    </row>
    <row r="849" spans="21:21" x14ac:dyDescent="0.25">
      <c r="U849" s="129"/>
    </row>
    <row r="850" spans="21:21" x14ac:dyDescent="0.25">
      <c r="U850" s="129"/>
    </row>
    <row r="851" spans="21:21" x14ac:dyDescent="0.25">
      <c r="U851" s="129"/>
    </row>
    <row r="852" spans="21:21" x14ac:dyDescent="0.25">
      <c r="U852" s="129"/>
    </row>
    <row r="853" spans="21:21" x14ac:dyDescent="0.25">
      <c r="U853" s="129"/>
    </row>
    <row r="854" spans="21:21" x14ac:dyDescent="0.25">
      <c r="U854" s="129"/>
    </row>
    <row r="855" spans="21:21" x14ac:dyDescent="0.25">
      <c r="U855" s="129"/>
    </row>
    <row r="856" spans="21:21" x14ac:dyDescent="0.25">
      <c r="U856" s="129"/>
    </row>
    <row r="857" spans="21:21" x14ac:dyDescent="0.25">
      <c r="U857" s="129"/>
    </row>
    <row r="858" spans="21:21" x14ac:dyDescent="0.25">
      <c r="U858" s="129"/>
    </row>
    <row r="859" spans="21:21" x14ac:dyDescent="0.25">
      <c r="U859" s="129"/>
    </row>
    <row r="860" spans="21:21" x14ac:dyDescent="0.25">
      <c r="U860" s="129"/>
    </row>
    <row r="861" spans="21:21" x14ac:dyDescent="0.25">
      <c r="U861" s="129"/>
    </row>
    <row r="862" spans="21:21" x14ac:dyDescent="0.25">
      <c r="U862" s="129"/>
    </row>
    <row r="863" spans="21:21" x14ac:dyDescent="0.25">
      <c r="U863" s="129"/>
    </row>
    <row r="864" spans="21:21" x14ac:dyDescent="0.25">
      <c r="U864" s="129"/>
    </row>
    <row r="865" spans="21:21" x14ac:dyDescent="0.25">
      <c r="U865" s="129"/>
    </row>
    <row r="866" spans="21:21" x14ac:dyDescent="0.25">
      <c r="U866" s="129"/>
    </row>
    <row r="867" spans="21:21" x14ac:dyDescent="0.25">
      <c r="U867" s="129"/>
    </row>
    <row r="868" spans="21:21" x14ac:dyDescent="0.25">
      <c r="U868" s="129"/>
    </row>
    <row r="869" spans="21:21" x14ac:dyDescent="0.25">
      <c r="U869" s="129"/>
    </row>
    <row r="870" spans="21:21" x14ac:dyDescent="0.25">
      <c r="U870" s="129"/>
    </row>
    <row r="871" spans="21:21" x14ac:dyDescent="0.25">
      <c r="U871" s="129"/>
    </row>
    <row r="872" spans="21:21" x14ac:dyDescent="0.25">
      <c r="U872" s="129"/>
    </row>
    <row r="873" spans="21:21" x14ac:dyDescent="0.25">
      <c r="U873" s="129"/>
    </row>
    <row r="874" spans="21:21" x14ac:dyDescent="0.25">
      <c r="U874" s="129"/>
    </row>
    <row r="875" spans="21:21" x14ac:dyDescent="0.25">
      <c r="U875" s="129"/>
    </row>
    <row r="876" spans="21:21" x14ac:dyDescent="0.25">
      <c r="U876" s="129"/>
    </row>
    <row r="877" spans="21:21" x14ac:dyDescent="0.25">
      <c r="U877" s="129"/>
    </row>
    <row r="878" spans="21:21" x14ac:dyDescent="0.25">
      <c r="U878" s="129"/>
    </row>
    <row r="879" spans="21:21" x14ac:dyDescent="0.25">
      <c r="U879" s="129"/>
    </row>
    <row r="880" spans="21:21" x14ac:dyDescent="0.25">
      <c r="U880" s="129"/>
    </row>
    <row r="881" spans="21:21" x14ac:dyDescent="0.25">
      <c r="U881" s="129"/>
    </row>
    <row r="882" spans="21:21" x14ac:dyDescent="0.25">
      <c r="U882" s="129"/>
    </row>
    <row r="883" spans="21:21" x14ac:dyDescent="0.25">
      <c r="U883" s="129"/>
    </row>
    <row r="884" spans="21:21" x14ac:dyDescent="0.25">
      <c r="U884" s="129"/>
    </row>
    <row r="885" spans="21:21" x14ac:dyDescent="0.25">
      <c r="U885" s="129"/>
    </row>
    <row r="886" spans="21:21" x14ac:dyDescent="0.25">
      <c r="U886" s="129"/>
    </row>
    <row r="887" spans="21:21" x14ac:dyDescent="0.25">
      <c r="U887" s="129"/>
    </row>
    <row r="888" spans="21:21" x14ac:dyDescent="0.25">
      <c r="U888" s="129"/>
    </row>
    <row r="889" spans="21:21" x14ac:dyDescent="0.25">
      <c r="U889" s="129"/>
    </row>
    <row r="890" spans="21:21" x14ac:dyDescent="0.25">
      <c r="U890" s="129"/>
    </row>
    <row r="891" spans="21:21" x14ac:dyDescent="0.25">
      <c r="U891" s="129"/>
    </row>
    <row r="892" spans="21:21" x14ac:dyDescent="0.25">
      <c r="U892" s="129"/>
    </row>
    <row r="893" spans="21:21" x14ac:dyDescent="0.25">
      <c r="U893" s="129"/>
    </row>
    <row r="894" spans="21:21" x14ac:dyDescent="0.25">
      <c r="U894" s="129"/>
    </row>
    <row r="895" spans="21:21" x14ac:dyDescent="0.25">
      <c r="U895" s="129"/>
    </row>
    <row r="896" spans="21:21" x14ac:dyDescent="0.25">
      <c r="U896" s="129"/>
    </row>
    <row r="897" spans="21:21" x14ac:dyDescent="0.25">
      <c r="U897" s="129"/>
    </row>
    <row r="898" spans="21:21" x14ac:dyDescent="0.25">
      <c r="U898" s="129"/>
    </row>
    <row r="899" spans="21:21" x14ac:dyDescent="0.25">
      <c r="U899" s="129"/>
    </row>
    <row r="900" spans="21:21" x14ac:dyDescent="0.25">
      <c r="U900" s="129"/>
    </row>
    <row r="901" spans="21:21" x14ac:dyDescent="0.25">
      <c r="U901" s="129"/>
    </row>
    <row r="902" spans="21:21" x14ac:dyDescent="0.25">
      <c r="U902" s="129"/>
    </row>
    <row r="903" spans="21:21" x14ac:dyDescent="0.25">
      <c r="U903" s="129"/>
    </row>
    <row r="904" spans="21:21" x14ac:dyDescent="0.25">
      <c r="U904" s="129"/>
    </row>
    <row r="905" spans="21:21" x14ac:dyDescent="0.25">
      <c r="U905" s="129"/>
    </row>
    <row r="906" spans="21:21" x14ac:dyDescent="0.25">
      <c r="U906" s="129"/>
    </row>
    <row r="907" spans="21:21" x14ac:dyDescent="0.25">
      <c r="U907" s="129"/>
    </row>
    <row r="908" spans="21:21" x14ac:dyDescent="0.25">
      <c r="U908" s="129"/>
    </row>
    <row r="909" spans="21:21" x14ac:dyDescent="0.25">
      <c r="U909" s="129"/>
    </row>
    <row r="910" spans="21:21" x14ac:dyDescent="0.25">
      <c r="U910" s="129"/>
    </row>
    <row r="911" spans="21:21" x14ac:dyDescent="0.25">
      <c r="U911" s="129"/>
    </row>
    <row r="912" spans="21:21" x14ac:dyDescent="0.25">
      <c r="U912" s="129"/>
    </row>
    <row r="913" spans="21:21" x14ac:dyDescent="0.25">
      <c r="U913" s="129"/>
    </row>
    <row r="914" spans="21:21" x14ac:dyDescent="0.25">
      <c r="U914" s="129"/>
    </row>
    <row r="915" spans="21:21" x14ac:dyDescent="0.25">
      <c r="U915" s="129"/>
    </row>
    <row r="916" spans="21:21" x14ac:dyDescent="0.25">
      <c r="U916" s="129"/>
    </row>
    <row r="917" spans="21:21" x14ac:dyDescent="0.25">
      <c r="U917" s="129"/>
    </row>
    <row r="918" spans="21:21" x14ac:dyDescent="0.25">
      <c r="U918" s="129"/>
    </row>
    <row r="919" spans="21:21" x14ac:dyDescent="0.25">
      <c r="U919" s="129"/>
    </row>
    <row r="920" spans="21:21" x14ac:dyDescent="0.25">
      <c r="U920" s="129"/>
    </row>
    <row r="921" spans="21:21" x14ac:dyDescent="0.25">
      <c r="U921" s="129"/>
    </row>
    <row r="922" spans="21:21" x14ac:dyDescent="0.25">
      <c r="U922" s="129"/>
    </row>
    <row r="923" spans="21:21" x14ac:dyDescent="0.25">
      <c r="U923" s="129"/>
    </row>
    <row r="924" spans="21:21" x14ac:dyDescent="0.25">
      <c r="U924" s="129"/>
    </row>
    <row r="925" spans="21:21" x14ac:dyDescent="0.25">
      <c r="U925" s="129"/>
    </row>
    <row r="926" spans="21:21" x14ac:dyDescent="0.25">
      <c r="U926" s="129"/>
    </row>
    <row r="927" spans="21:21" x14ac:dyDescent="0.25">
      <c r="U927" s="129"/>
    </row>
    <row r="928" spans="21:21" x14ac:dyDescent="0.25">
      <c r="U928" s="129"/>
    </row>
    <row r="929" spans="21:21" x14ac:dyDescent="0.25">
      <c r="U929" s="129"/>
    </row>
    <row r="930" spans="21:21" x14ac:dyDescent="0.25">
      <c r="U930" s="129"/>
    </row>
    <row r="931" spans="21:21" x14ac:dyDescent="0.25">
      <c r="U931" s="129"/>
    </row>
    <row r="932" spans="21:21" x14ac:dyDescent="0.25">
      <c r="U932" s="129"/>
    </row>
    <row r="933" spans="21:21" x14ac:dyDescent="0.25">
      <c r="U933" s="129"/>
    </row>
    <row r="934" spans="21:21" x14ac:dyDescent="0.25">
      <c r="U934" s="129"/>
    </row>
    <row r="935" spans="21:21" x14ac:dyDescent="0.25">
      <c r="U935" s="129"/>
    </row>
    <row r="936" spans="21:21" x14ac:dyDescent="0.25">
      <c r="U936" s="129"/>
    </row>
    <row r="937" spans="21:21" x14ac:dyDescent="0.25">
      <c r="U937" s="129"/>
    </row>
    <row r="938" spans="21:21" x14ac:dyDescent="0.25">
      <c r="U938" s="129"/>
    </row>
    <row r="939" spans="21:21" x14ac:dyDescent="0.25">
      <c r="U939" s="129"/>
    </row>
    <row r="940" spans="21:21" x14ac:dyDescent="0.25">
      <c r="U940" s="129"/>
    </row>
    <row r="941" spans="21:21" x14ac:dyDescent="0.25">
      <c r="U941" s="129"/>
    </row>
    <row r="942" spans="21:21" x14ac:dyDescent="0.25">
      <c r="U942" s="129"/>
    </row>
    <row r="943" spans="21:21" x14ac:dyDescent="0.25">
      <c r="U943" s="129"/>
    </row>
    <row r="944" spans="21:21" x14ac:dyDescent="0.25">
      <c r="U944" s="129"/>
    </row>
    <row r="945" spans="21:21" x14ac:dyDescent="0.25">
      <c r="U945" s="129"/>
    </row>
    <row r="946" spans="21:21" x14ac:dyDescent="0.25">
      <c r="U946" s="129"/>
    </row>
    <row r="947" spans="21:21" x14ac:dyDescent="0.25">
      <c r="U947" s="129"/>
    </row>
    <row r="948" spans="21:21" x14ac:dyDescent="0.25">
      <c r="U948" s="129"/>
    </row>
    <row r="949" spans="21:21" x14ac:dyDescent="0.25">
      <c r="U949" s="129"/>
    </row>
    <row r="950" spans="21:21" x14ac:dyDescent="0.25">
      <c r="U950" s="129"/>
    </row>
    <row r="951" spans="21:21" x14ac:dyDescent="0.25">
      <c r="U951" s="129"/>
    </row>
    <row r="952" spans="21:21" x14ac:dyDescent="0.25">
      <c r="U952" s="129"/>
    </row>
    <row r="953" spans="21:21" x14ac:dyDescent="0.25">
      <c r="U953" s="129"/>
    </row>
    <row r="954" spans="21:21" x14ac:dyDescent="0.25">
      <c r="U954" s="129"/>
    </row>
    <row r="955" spans="21:21" x14ac:dyDescent="0.25">
      <c r="U955" s="129"/>
    </row>
    <row r="956" spans="21:21" x14ac:dyDescent="0.25">
      <c r="U956" s="129"/>
    </row>
    <row r="957" spans="21:21" x14ac:dyDescent="0.25">
      <c r="U957" s="129"/>
    </row>
    <row r="958" spans="21:21" x14ac:dyDescent="0.25">
      <c r="U958" s="129"/>
    </row>
    <row r="959" spans="21:21" x14ac:dyDescent="0.25">
      <c r="U959" s="129"/>
    </row>
    <row r="960" spans="21:21" x14ac:dyDescent="0.25">
      <c r="U960" s="129"/>
    </row>
    <row r="961" spans="21:21" x14ac:dyDescent="0.25">
      <c r="U961" s="129"/>
    </row>
    <row r="962" spans="21:21" x14ac:dyDescent="0.25">
      <c r="U962" s="129"/>
    </row>
    <row r="963" spans="21:21" x14ac:dyDescent="0.25">
      <c r="U963" s="129"/>
    </row>
    <row r="964" spans="21:21" x14ac:dyDescent="0.25">
      <c r="U964" s="129"/>
    </row>
    <row r="965" spans="21:21" x14ac:dyDescent="0.25">
      <c r="U965" s="129"/>
    </row>
    <row r="966" spans="21:21" x14ac:dyDescent="0.25">
      <c r="U966" s="129"/>
    </row>
    <row r="967" spans="21:21" x14ac:dyDescent="0.25">
      <c r="U967" s="129"/>
    </row>
    <row r="968" spans="21:21" x14ac:dyDescent="0.25">
      <c r="U968" s="129"/>
    </row>
    <row r="969" spans="21:21" x14ac:dyDescent="0.25">
      <c r="U969" s="129"/>
    </row>
    <row r="970" spans="21:21" x14ac:dyDescent="0.25">
      <c r="U970" s="129"/>
    </row>
    <row r="971" spans="21:21" x14ac:dyDescent="0.25">
      <c r="U971" s="129"/>
    </row>
    <row r="972" spans="21:21" x14ac:dyDescent="0.25">
      <c r="U972" s="129"/>
    </row>
    <row r="973" spans="21:21" x14ac:dyDescent="0.25">
      <c r="U973" s="129"/>
    </row>
    <row r="974" spans="21:21" x14ac:dyDescent="0.25">
      <c r="U974" s="129"/>
    </row>
    <row r="975" spans="21:21" x14ac:dyDescent="0.25">
      <c r="U975" s="129"/>
    </row>
    <row r="976" spans="21:21" x14ac:dyDescent="0.25">
      <c r="U976" s="129"/>
    </row>
    <row r="977" spans="21:21" x14ac:dyDescent="0.25">
      <c r="U977" s="129"/>
    </row>
    <row r="978" spans="21:21" x14ac:dyDescent="0.25">
      <c r="U978" s="129"/>
    </row>
    <row r="979" spans="21:21" x14ac:dyDescent="0.25">
      <c r="U979" s="129"/>
    </row>
    <row r="980" spans="21:21" x14ac:dyDescent="0.25">
      <c r="U980" s="129"/>
    </row>
    <row r="981" spans="21:21" x14ac:dyDescent="0.25">
      <c r="U981" s="129"/>
    </row>
    <row r="982" spans="21:21" x14ac:dyDescent="0.25">
      <c r="U982" s="129"/>
    </row>
    <row r="983" spans="21:21" x14ac:dyDescent="0.25">
      <c r="U983" s="129"/>
    </row>
    <row r="984" spans="21:21" x14ac:dyDescent="0.25">
      <c r="U984" s="129"/>
    </row>
    <row r="985" spans="21:21" x14ac:dyDescent="0.25">
      <c r="U985" s="129"/>
    </row>
    <row r="986" spans="21:21" x14ac:dyDescent="0.25">
      <c r="U986" s="129"/>
    </row>
    <row r="987" spans="21:21" x14ac:dyDescent="0.25">
      <c r="U987" s="129"/>
    </row>
    <row r="988" spans="21:21" x14ac:dyDescent="0.25">
      <c r="U988" s="129"/>
    </row>
    <row r="989" spans="21:21" x14ac:dyDescent="0.25">
      <c r="U989" s="129"/>
    </row>
    <row r="990" spans="21:21" x14ac:dyDescent="0.25">
      <c r="U990" s="129"/>
    </row>
    <row r="991" spans="21:21" x14ac:dyDescent="0.25">
      <c r="U991" s="129"/>
    </row>
    <row r="992" spans="21:21" x14ac:dyDescent="0.25">
      <c r="U992" s="129"/>
    </row>
    <row r="993" spans="21:21" x14ac:dyDescent="0.25">
      <c r="U993" s="129"/>
    </row>
    <row r="994" spans="21:21" x14ac:dyDescent="0.25">
      <c r="U994" s="129"/>
    </row>
    <row r="995" spans="21:21" x14ac:dyDescent="0.25">
      <c r="U995" s="129"/>
    </row>
    <row r="996" spans="21:21" x14ac:dyDescent="0.25">
      <c r="U996" s="129"/>
    </row>
    <row r="997" spans="21:21" x14ac:dyDescent="0.25">
      <c r="U997" s="129"/>
    </row>
    <row r="998" spans="21:21" x14ac:dyDescent="0.25">
      <c r="U998" s="129"/>
    </row>
    <row r="999" spans="21:21" x14ac:dyDescent="0.25">
      <c r="U999" s="129"/>
    </row>
    <row r="1000" spans="21:21" x14ac:dyDescent="0.25">
      <c r="U1000" s="129"/>
    </row>
    <row r="1001" spans="21:21" x14ac:dyDescent="0.25">
      <c r="U1001" s="129"/>
    </row>
    <row r="1002" spans="21:21" x14ac:dyDescent="0.25">
      <c r="U1002" s="129"/>
    </row>
    <row r="1003" spans="21:21" x14ac:dyDescent="0.25">
      <c r="U1003" s="129"/>
    </row>
    <row r="1004" spans="21:21" x14ac:dyDescent="0.25">
      <c r="U1004" s="129"/>
    </row>
    <row r="1005" spans="21:21" x14ac:dyDescent="0.25">
      <c r="U1005" s="129"/>
    </row>
    <row r="1006" spans="21:21" x14ac:dyDescent="0.25">
      <c r="U1006" s="129"/>
    </row>
    <row r="1007" spans="21:21" x14ac:dyDescent="0.25">
      <c r="U1007" s="129"/>
    </row>
    <row r="1008" spans="21:21" x14ac:dyDescent="0.25">
      <c r="U1008" s="129"/>
    </row>
    <row r="1009" spans="21:21" x14ac:dyDescent="0.25">
      <c r="U1009" s="129"/>
    </row>
    <row r="1010" spans="21:21" x14ac:dyDescent="0.25">
      <c r="U1010" s="129"/>
    </row>
    <row r="1011" spans="21:21" x14ac:dyDescent="0.25">
      <c r="U1011" s="129"/>
    </row>
    <row r="1012" spans="21:21" x14ac:dyDescent="0.25">
      <c r="U1012" s="129"/>
    </row>
    <row r="1013" spans="21:21" x14ac:dyDescent="0.25">
      <c r="U1013" s="129"/>
    </row>
    <row r="1014" spans="21:21" x14ac:dyDescent="0.25">
      <c r="U1014" s="129"/>
    </row>
    <row r="1015" spans="21:21" x14ac:dyDescent="0.25">
      <c r="U1015" s="129"/>
    </row>
    <row r="1016" spans="21:21" x14ac:dyDescent="0.25">
      <c r="U1016" s="129"/>
    </row>
    <row r="1017" spans="21:21" x14ac:dyDescent="0.25">
      <c r="U1017" s="129"/>
    </row>
    <row r="1018" spans="21:21" x14ac:dyDescent="0.25">
      <c r="U1018" s="129"/>
    </row>
    <row r="1019" spans="21:21" x14ac:dyDescent="0.25">
      <c r="U1019" s="129"/>
    </row>
    <row r="1020" spans="21:21" x14ac:dyDescent="0.25">
      <c r="U1020" s="129"/>
    </row>
    <row r="1021" spans="21:21" x14ac:dyDescent="0.25">
      <c r="U1021" s="129"/>
    </row>
    <row r="1022" spans="21:21" x14ac:dyDescent="0.25">
      <c r="U1022" s="129"/>
    </row>
    <row r="1023" spans="21:21" x14ac:dyDescent="0.25">
      <c r="U1023" s="129"/>
    </row>
    <row r="1024" spans="21:21" x14ac:dyDescent="0.25">
      <c r="U1024" s="129"/>
    </row>
    <row r="1025" spans="21:21" x14ac:dyDescent="0.25">
      <c r="U1025" s="129"/>
    </row>
    <row r="1026" spans="21:21" x14ac:dyDescent="0.25">
      <c r="U1026" s="129"/>
    </row>
    <row r="1027" spans="21:21" x14ac:dyDescent="0.25">
      <c r="U1027" s="129"/>
    </row>
    <row r="1028" spans="21:21" x14ac:dyDescent="0.25">
      <c r="U1028" s="129"/>
    </row>
    <row r="1029" spans="21:21" x14ac:dyDescent="0.25">
      <c r="U1029" s="129"/>
    </row>
    <row r="1030" spans="21:21" x14ac:dyDescent="0.25">
      <c r="U1030" s="129"/>
    </row>
    <row r="1031" spans="21:21" x14ac:dyDescent="0.25">
      <c r="U1031" s="129"/>
    </row>
    <row r="1032" spans="21:21" x14ac:dyDescent="0.25">
      <c r="U1032" s="129"/>
    </row>
    <row r="1033" spans="21:21" x14ac:dyDescent="0.25">
      <c r="U1033" s="129"/>
    </row>
    <row r="1034" spans="21:21" x14ac:dyDescent="0.25">
      <c r="U1034" s="129"/>
    </row>
    <row r="1035" spans="21:21" x14ac:dyDescent="0.25">
      <c r="U1035" s="129"/>
    </row>
    <row r="1036" spans="21:21" x14ac:dyDescent="0.25">
      <c r="U1036" s="129"/>
    </row>
    <row r="1037" spans="21:21" x14ac:dyDescent="0.25">
      <c r="U1037" s="129"/>
    </row>
    <row r="1038" spans="21:21" x14ac:dyDescent="0.25">
      <c r="U1038" s="129"/>
    </row>
    <row r="1039" spans="21:21" x14ac:dyDescent="0.25">
      <c r="U1039" s="129"/>
    </row>
    <row r="1040" spans="21:21" x14ac:dyDescent="0.25">
      <c r="U1040" s="129"/>
    </row>
    <row r="1041" spans="21:21" x14ac:dyDescent="0.25">
      <c r="U1041" s="129"/>
    </row>
    <row r="1042" spans="21:21" x14ac:dyDescent="0.25">
      <c r="U1042" s="129"/>
    </row>
    <row r="1043" spans="21:21" x14ac:dyDescent="0.25">
      <c r="U1043" s="129"/>
    </row>
    <row r="1044" spans="21:21" x14ac:dyDescent="0.25">
      <c r="U1044" s="129"/>
    </row>
    <row r="1045" spans="21:21" x14ac:dyDescent="0.25">
      <c r="U1045" s="129"/>
    </row>
    <row r="1046" spans="21:21" x14ac:dyDescent="0.25">
      <c r="U1046" s="129"/>
    </row>
    <row r="1047" spans="21:21" x14ac:dyDescent="0.25">
      <c r="U1047" s="129"/>
    </row>
    <row r="1048" spans="21:21" x14ac:dyDescent="0.25">
      <c r="U1048" s="129"/>
    </row>
    <row r="1049" spans="21:21" x14ac:dyDescent="0.25">
      <c r="U1049" s="129"/>
    </row>
    <row r="1050" spans="21:21" x14ac:dyDescent="0.25">
      <c r="U1050" s="129"/>
    </row>
    <row r="1051" spans="21:21" x14ac:dyDescent="0.25">
      <c r="U1051" s="129"/>
    </row>
    <row r="1052" spans="21:21" x14ac:dyDescent="0.25">
      <c r="U1052" s="129"/>
    </row>
    <row r="1053" spans="21:21" x14ac:dyDescent="0.25">
      <c r="U1053" s="129"/>
    </row>
    <row r="1054" spans="21:21" x14ac:dyDescent="0.25">
      <c r="U1054" s="129"/>
    </row>
    <row r="1055" spans="21:21" x14ac:dyDescent="0.25">
      <c r="U1055" s="129"/>
    </row>
    <row r="1056" spans="21:21" x14ac:dyDescent="0.25">
      <c r="U1056" s="129"/>
    </row>
    <row r="1057" spans="21:21" x14ac:dyDescent="0.25">
      <c r="U1057" s="129"/>
    </row>
    <row r="1058" spans="21:21" x14ac:dyDescent="0.25">
      <c r="U1058" s="129"/>
    </row>
    <row r="1059" spans="21:21" x14ac:dyDescent="0.25">
      <c r="U1059" s="129"/>
    </row>
    <row r="1060" spans="21:21" x14ac:dyDescent="0.25">
      <c r="U1060" s="129"/>
    </row>
    <row r="1061" spans="21:21" x14ac:dyDescent="0.25">
      <c r="U1061" s="129"/>
    </row>
    <row r="1062" spans="21:21" x14ac:dyDescent="0.25">
      <c r="U1062" s="129"/>
    </row>
    <row r="1063" spans="21:21" x14ac:dyDescent="0.25">
      <c r="U1063" s="129"/>
    </row>
    <row r="1064" spans="21:21" x14ac:dyDescent="0.25">
      <c r="U1064" s="129"/>
    </row>
    <row r="1065" spans="21:21" x14ac:dyDescent="0.25">
      <c r="U1065" s="129"/>
    </row>
    <row r="1066" spans="21:21" x14ac:dyDescent="0.25">
      <c r="U1066" s="129"/>
    </row>
    <row r="1067" spans="21:21" x14ac:dyDescent="0.25">
      <c r="U1067" s="129"/>
    </row>
    <row r="1068" spans="21:21" x14ac:dyDescent="0.25">
      <c r="U1068" s="129"/>
    </row>
    <row r="1069" spans="21:21" x14ac:dyDescent="0.25">
      <c r="U1069" s="129"/>
    </row>
    <row r="1070" spans="21:21" x14ac:dyDescent="0.25">
      <c r="U1070" s="129"/>
    </row>
    <row r="1071" spans="21:21" x14ac:dyDescent="0.25">
      <c r="U1071" s="129"/>
    </row>
    <row r="1072" spans="21:21" x14ac:dyDescent="0.25">
      <c r="U1072" s="129"/>
    </row>
    <row r="1073" spans="21:21" x14ac:dyDescent="0.25">
      <c r="U1073" s="129"/>
    </row>
    <row r="1074" spans="21:21" x14ac:dyDescent="0.25">
      <c r="U1074" s="129"/>
    </row>
    <row r="1075" spans="21:21" x14ac:dyDescent="0.25">
      <c r="U1075" s="129"/>
    </row>
    <row r="1076" spans="21:21" x14ac:dyDescent="0.25">
      <c r="U1076" s="129"/>
    </row>
    <row r="1077" spans="21:21" x14ac:dyDescent="0.25">
      <c r="U1077" s="129"/>
    </row>
    <row r="1078" spans="21:21" x14ac:dyDescent="0.25">
      <c r="U1078" s="129"/>
    </row>
    <row r="1079" spans="21:21" x14ac:dyDescent="0.25">
      <c r="U1079" s="129"/>
    </row>
    <row r="1080" spans="21:21" x14ac:dyDescent="0.25">
      <c r="U1080" s="129"/>
    </row>
    <row r="1081" spans="21:21" x14ac:dyDescent="0.25">
      <c r="U1081" s="129"/>
    </row>
    <row r="1082" spans="21:21" x14ac:dyDescent="0.25">
      <c r="U1082" s="129"/>
    </row>
    <row r="1083" spans="21:21" x14ac:dyDescent="0.25">
      <c r="U1083" s="129"/>
    </row>
    <row r="1084" spans="21:21" x14ac:dyDescent="0.25">
      <c r="U1084" s="129"/>
    </row>
    <row r="1085" spans="21:21" x14ac:dyDescent="0.25">
      <c r="U1085" s="129"/>
    </row>
    <row r="1086" spans="21:21" x14ac:dyDescent="0.25">
      <c r="U1086" s="129"/>
    </row>
    <row r="1087" spans="21:21" x14ac:dyDescent="0.25">
      <c r="U1087" s="129"/>
    </row>
    <row r="1088" spans="21:21" x14ac:dyDescent="0.25">
      <c r="U1088" s="129"/>
    </row>
    <row r="1089" spans="21:21" x14ac:dyDescent="0.25">
      <c r="U1089" s="129"/>
    </row>
    <row r="1090" spans="21:21" x14ac:dyDescent="0.25">
      <c r="U1090" s="129"/>
    </row>
    <row r="1091" spans="21:21" x14ac:dyDescent="0.25">
      <c r="U1091" s="129"/>
    </row>
    <row r="1092" spans="21:21" x14ac:dyDescent="0.25">
      <c r="U1092" s="129"/>
    </row>
    <row r="1093" spans="21:21" x14ac:dyDescent="0.25">
      <c r="U1093" s="129"/>
    </row>
    <row r="1094" spans="21:21" x14ac:dyDescent="0.25">
      <c r="U1094" s="129"/>
    </row>
    <row r="1095" spans="21:21" x14ac:dyDescent="0.25">
      <c r="U1095" s="129"/>
    </row>
    <row r="1096" spans="21:21" x14ac:dyDescent="0.25">
      <c r="U1096" s="129"/>
    </row>
    <row r="1097" spans="21:21" x14ac:dyDescent="0.25">
      <c r="U1097" s="129"/>
    </row>
    <row r="1098" spans="21:21" x14ac:dyDescent="0.25">
      <c r="U1098" s="129"/>
    </row>
    <row r="1099" spans="21:21" x14ac:dyDescent="0.25">
      <c r="U1099" s="129"/>
    </row>
    <row r="1100" spans="21:21" x14ac:dyDescent="0.25">
      <c r="U1100" s="129"/>
    </row>
    <row r="1101" spans="21:21" x14ac:dyDescent="0.25">
      <c r="U1101" s="129"/>
    </row>
    <row r="1102" spans="21:21" x14ac:dyDescent="0.25">
      <c r="U1102" s="129"/>
    </row>
    <row r="1103" spans="21:21" x14ac:dyDescent="0.25">
      <c r="U1103" s="129"/>
    </row>
    <row r="1104" spans="21:21" x14ac:dyDescent="0.25">
      <c r="U1104" s="129"/>
    </row>
    <row r="1105" spans="21:21" x14ac:dyDescent="0.25">
      <c r="U1105" s="129"/>
    </row>
    <row r="1106" spans="21:21" x14ac:dyDescent="0.25">
      <c r="U1106" s="129"/>
    </row>
    <row r="1107" spans="21:21" x14ac:dyDescent="0.25">
      <c r="U1107" s="129"/>
    </row>
    <row r="1108" spans="21:21" x14ac:dyDescent="0.25">
      <c r="U1108" s="129"/>
    </row>
    <row r="1109" spans="21:21" x14ac:dyDescent="0.25">
      <c r="U1109" s="129"/>
    </row>
    <row r="1110" spans="21:21" x14ac:dyDescent="0.25">
      <c r="U1110" s="129"/>
    </row>
    <row r="1111" spans="21:21" x14ac:dyDescent="0.25">
      <c r="U1111" s="129"/>
    </row>
    <row r="1112" spans="21:21" x14ac:dyDescent="0.25">
      <c r="U1112" s="129"/>
    </row>
    <row r="1113" spans="21:21" x14ac:dyDescent="0.25">
      <c r="U1113" s="129"/>
    </row>
    <row r="1114" spans="21:21" x14ac:dyDescent="0.25">
      <c r="U1114" s="129"/>
    </row>
    <row r="1115" spans="21:21" x14ac:dyDescent="0.25">
      <c r="U1115" s="129"/>
    </row>
    <row r="1116" spans="21:21" x14ac:dyDescent="0.25">
      <c r="U1116" s="129"/>
    </row>
    <row r="1117" spans="21:21" x14ac:dyDescent="0.25">
      <c r="U1117" s="129"/>
    </row>
    <row r="1118" spans="21:21" x14ac:dyDescent="0.25">
      <c r="U1118" s="129"/>
    </row>
    <row r="1119" spans="21:21" x14ac:dyDescent="0.25">
      <c r="U1119" s="129"/>
    </row>
    <row r="1120" spans="21:21" x14ac:dyDescent="0.25">
      <c r="U1120" s="129"/>
    </row>
    <row r="1121" spans="21:21" x14ac:dyDescent="0.25">
      <c r="U1121" s="129"/>
    </row>
    <row r="1122" spans="21:21" x14ac:dyDescent="0.25">
      <c r="U1122" s="129"/>
    </row>
    <row r="1123" spans="21:21" x14ac:dyDescent="0.25">
      <c r="U1123" s="129"/>
    </row>
    <row r="1124" spans="21:21" x14ac:dyDescent="0.25">
      <c r="U1124" s="129"/>
    </row>
    <row r="1125" spans="21:21" x14ac:dyDescent="0.25">
      <c r="U1125" s="129"/>
    </row>
    <row r="1126" spans="21:21" x14ac:dyDescent="0.25">
      <c r="U1126" s="129"/>
    </row>
    <row r="1127" spans="21:21" x14ac:dyDescent="0.25">
      <c r="U1127" s="129"/>
    </row>
    <row r="1128" spans="21:21" x14ac:dyDescent="0.25">
      <c r="U1128" s="129"/>
    </row>
    <row r="1129" spans="21:21" x14ac:dyDescent="0.25">
      <c r="U1129" s="129"/>
    </row>
    <row r="1130" spans="21:21" x14ac:dyDescent="0.25">
      <c r="U1130" s="129"/>
    </row>
    <row r="1131" spans="21:21" x14ac:dyDescent="0.25">
      <c r="U1131" s="129"/>
    </row>
    <row r="1132" spans="21:21" x14ac:dyDescent="0.25">
      <c r="U1132" s="129"/>
    </row>
    <row r="1133" spans="21:21" x14ac:dyDescent="0.25">
      <c r="U1133" s="129"/>
    </row>
    <row r="1134" spans="21:21" x14ac:dyDescent="0.25">
      <c r="U1134" s="129"/>
    </row>
    <row r="1135" spans="21:21" x14ac:dyDescent="0.25">
      <c r="U1135" s="129"/>
    </row>
    <row r="1136" spans="21:21" x14ac:dyDescent="0.25">
      <c r="U1136" s="129"/>
    </row>
    <row r="1137" spans="21:21" x14ac:dyDescent="0.25">
      <c r="U1137" s="129"/>
    </row>
    <row r="1138" spans="21:21" x14ac:dyDescent="0.25">
      <c r="U1138" s="129"/>
    </row>
    <row r="1139" spans="21:21" x14ac:dyDescent="0.25">
      <c r="U1139" s="129"/>
    </row>
    <row r="1140" spans="21:21" x14ac:dyDescent="0.25">
      <c r="U1140" s="129"/>
    </row>
    <row r="1141" spans="21:21" x14ac:dyDescent="0.25">
      <c r="U1141" s="129"/>
    </row>
    <row r="1142" spans="21:21" x14ac:dyDescent="0.25">
      <c r="U1142" s="129"/>
    </row>
    <row r="1143" spans="21:21" x14ac:dyDescent="0.25">
      <c r="U1143" s="129"/>
    </row>
    <row r="1144" spans="21:21" x14ac:dyDescent="0.25">
      <c r="U1144" s="129"/>
    </row>
    <row r="1145" spans="21:21" x14ac:dyDescent="0.25">
      <c r="U1145" s="129"/>
    </row>
    <row r="1146" spans="21:21" x14ac:dyDescent="0.25">
      <c r="U1146" s="129"/>
    </row>
    <row r="1147" spans="21:21" x14ac:dyDescent="0.25">
      <c r="U1147" s="129"/>
    </row>
    <row r="1148" spans="21:21" x14ac:dyDescent="0.25">
      <c r="U1148" s="129"/>
    </row>
    <row r="1149" spans="21:21" x14ac:dyDescent="0.25">
      <c r="U1149" s="129"/>
    </row>
    <row r="1150" spans="21:21" x14ac:dyDescent="0.25">
      <c r="U1150" s="129"/>
    </row>
    <row r="1151" spans="21:21" x14ac:dyDescent="0.25">
      <c r="U1151" s="129"/>
    </row>
    <row r="1152" spans="21:21" x14ac:dyDescent="0.25">
      <c r="U1152" s="129"/>
    </row>
    <row r="1153" spans="21:21" x14ac:dyDescent="0.25">
      <c r="U1153" s="129"/>
    </row>
    <row r="1154" spans="21:21" x14ac:dyDescent="0.25">
      <c r="U1154" s="129"/>
    </row>
    <row r="1155" spans="21:21" x14ac:dyDescent="0.25">
      <c r="U1155" s="129"/>
    </row>
    <row r="1156" spans="21:21" x14ac:dyDescent="0.25">
      <c r="U1156" s="129"/>
    </row>
    <row r="1157" spans="21:21" x14ac:dyDescent="0.25">
      <c r="U1157" s="129"/>
    </row>
    <row r="1158" spans="21:21" x14ac:dyDescent="0.25">
      <c r="U1158" s="129"/>
    </row>
    <row r="1159" spans="21:21" x14ac:dyDescent="0.25">
      <c r="U1159" s="129"/>
    </row>
    <row r="1160" spans="21:21" x14ac:dyDescent="0.25">
      <c r="U1160" s="129"/>
    </row>
    <row r="1161" spans="21:21" x14ac:dyDescent="0.25">
      <c r="U1161" s="129"/>
    </row>
    <row r="1162" spans="21:21" x14ac:dyDescent="0.25">
      <c r="U1162" s="129"/>
    </row>
    <row r="1163" spans="21:21" x14ac:dyDescent="0.25">
      <c r="U1163" s="129"/>
    </row>
    <row r="1164" spans="21:21" x14ac:dyDescent="0.25">
      <c r="U1164" s="129"/>
    </row>
    <row r="1165" spans="21:21" x14ac:dyDescent="0.25">
      <c r="U1165" s="129"/>
    </row>
    <row r="1166" spans="21:21" x14ac:dyDescent="0.25">
      <c r="U1166" s="129"/>
    </row>
    <row r="1167" spans="21:21" x14ac:dyDescent="0.25">
      <c r="U1167" s="129"/>
    </row>
    <row r="1168" spans="21:21" x14ac:dyDescent="0.25">
      <c r="U1168" s="129"/>
    </row>
    <row r="1169" spans="21:21" x14ac:dyDescent="0.25">
      <c r="U1169" s="129"/>
    </row>
    <row r="1170" spans="21:21" x14ac:dyDescent="0.25">
      <c r="U1170" s="129"/>
    </row>
    <row r="1171" spans="21:21" x14ac:dyDescent="0.25">
      <c r="U1171" s="129"/>
    </row>
    <row r="1172" spans="21:21" x14ac:dyDescent="0.25">
      <c r="U1172" s="129"/>
    </row>
    <row r="1173" spans="21:21" x14ac:dyDescent="0.25">
      <c r="U1173" s="129"/>
    </row>
    <row r="1174" spans="21:21" x14ac:dyDescent="0.25">
      <c r="U1174" s="129"/>
    </row>
    <row r="1175" spans="21:21" x14ac:dyDescent="0.25">
      <c r="U1175" s="129"/>
    </row>
    <row r="1176" spans="21:21" x14ac:dyDescent="0.25">
      <c r="U1176" s="129"/>
    </row>
    <row r="1177" spans="21:21" x14ac:dyDescent="0.25">
      <c r="U1177" s="129"/>
    </row>
    <row r="1178" spans="21:21" x14ac:dyDescent="0.25">
      <c r="U1178" s="129"/>
    </row>
    <row r="1179" spans="21:21" x14ac:dyDescent="0.25">
      <c r="U1179" s="129"/>
    </row>
    <row r="1180" spans="21:21" x14ac:dyDescent="0.25">
      <c r="U1180" s="129"/>
    </row>
    <row r="1181" spans="21:21" x14ac:dyDescent="0.25">
      <c r="U1181" s="129"/>
    </row>
    <row r="1182" spans="21:21" x14ac:dyDescent="0.25">
      <c r="U1182" s="129"/>
    </row>
    <row r="1183" spans="21:21" x14ac:dyDescent="0.25">
      <c r="U1183" s="129"/>
    </row>
    <row r="1184" spans="21:21" x14ac:dyDescent="0.25">
      <c r="U1184" s="129"/>
    </row>
    <row r="1185" spans="21:21" x14ac:dyDescent="0.25">
      <c r="U1185" s="129"/>
    </row>
    <row r="1186" spans="21:21" x14ac:dyDescent="0.25">
      <c r="U1186" s="129"/>
    </row>
    <row r="1187" spans="21:21" x14ac:dyDescent="0.25">
      <c r="U1187" s="129"/>
    </row>
    <row r="1188" spans="21:21" x14ac:dyDescent="0.25">
      <c r="U1188" s="129"/>
    </row>
    <row r="1189" spans="21:21" x14ac:dyDescent="0.25">
      <c r="U1189" s="129"/>
    </row>
    <row r="1190" spans="21:21" x14ac:dyDescent="0.25">
      <c r="U1190" s="129"/>
    </row>
    <row r="1191" spans="21:21" x14ac:dyDescent="0.25">
      <c r="U1191" s="129"/>
    </row>
    <row r="1192" spans="21:21" x14ac:dyDescent="0.25">
      <c r="U1192" s="129"/>
    </row>
    <row r="1193" spans="21:21" x14ac:dyDescent="0.25">
      <c r="U1193" s="129"/>
    </row>
    <row r="1194" spans="21:21" x14ac:dyDescent="0.25">
      <c r="U1194" s="129"/>
    </row>
    <row r="1195" spans="21:21" x14ac:dyDescent="0.25">
      <c r="U1195" s="129"/>
    </row>
    <row r="1196" spans="21:21" x14ac:dyDescent="0.25">
      <c r="U1196" s="129"/>
    </row>
    <row r="1197" spans="21:21" x14ac:dyDescent="0.25">
      <c r="U1197" s="129"/>
    </row>
    <row r="1198" spans="21:21" x14ac:dyDescent="0.25">
      <c r="U1198" s="129"/>
    </row>
    <row r="1199" spans="21:21" x14ac:dyDescent="0.25">
      <c r="U1199" s="129"/>
    </row>
    <row r="1200" spans="21:21" x14ac:dyDescent="0.25">
      <c r="U1200" s="129"/>
    </row>
    <row r="1201" spans="21:21" x14ac:dyDescent="0.25">
      <c r="U1201" s="129"/>
    </row>
    <row r="1202" spans="21:21" x14ac:dyDescent="0.25">
      <c r="U1202" s="129"/>
    </row>
    <row r="1203" spans="21:21" x14ac:dyDescent="0.25">
      <c r="U1203" s="129"/>
    </row>
    <row r="1204" spans="21:21" x14ac:dyDescent="0.25">
      <c r="U1204" s="129"/>
    </row>
    <row r="1205" spans="21:21" x14ac:dyDescent="0.25">
      <c r="U1205" s="129"/>
    </row>
    <row r="1206" spans="21:21" x14ac:dyDescent="0.25">
      <c r="U1206" s="129"/>
    </row>
    <row r="1207" spans="21:21" x14ac:dyDescent="0.25">
      <c r="U1207" s="129"/>
    </row>
    <row r="1208" spans="21:21" x14ac:dyDescent="0.25">
      <c r="U1208" s="129"/>
    </row>
    <row r="1209" spans="21:21" x14ac:dyDescent="0.25">
      <c r="U1209" s="129"/>
    </row>
    <row r="1210" spans="21:21" x14ac:dyDescent="0.25">
      <c r="U1210" s="129"/>
    </row>
    <row r="1211" spans="21:21" x14ac:dyDescent="0.25">
      <c r="U1211" s="129"/>
    </row>
    <row r="1212" spans="21:21" x14ac:dyDescent="0.25">
      <c r="U1212" s="129"/>
    </row>
    <row r="1213" spans="21:21" x14ac:dyDescent="0.25">
      <c r="U1213" s="129"/>
    </row>
    <row r="1214" spans="21:21" x14ac:dyDescent="0.25">
      <c r="U1214" s="129"/>
    </row>
    <row r="1215" spans="21:21" x14ac:dyDescent="0.25">
      <c r="U1215" s="129"/>
    </row>
    <row r="1216" spans="21:21" x14ac:dyDescent="0.25">
      <c r="U1216" s="129"/>
    </row>
    <row r="1217" spans="21:21" x14ac:dyDescent="0.25">
      <c r="U1217" s="129"/>
    </row>
    <row r="1218" spans="21:21" x14ac:dyDescent="0.25">
      <c r="U1218" s="129"/>
    </row>
    <row r="1219" spans="21:21" x14ac:dyDescent="0.25">
      <c r="U1219" s="129"/>
    </row>
    <row r="1220" spans="21:21" x14ac:dyDescent="0.25">
      <c r="U1220" s="129"/>
    </row>
    <row r="1221" spans="21:21" x14ac:dyDescent="0.25">
      <c r="U1221" s="129"/>
    </row>
    <row r="1222" spans="21:21" x14ac:dyDescent="0.25">
      <c r="U1222" s="129"/>
    </row>
    <row r="1223" spans="21:21" x14ac:dyDescent="0.25">
      <c r="U1223" s="129"/>
    </row>
    <row r="1224" spans="21:21" x14ac:dyDescent="0.25">
      <c r="U1224" s="129"/>
    </row>
    <row r="1225" spans="21:21" x14ac:dyDescent="0.25">
      <c r="U1225" s="129"/>
    </row>
    <row r="1226" spans="21:21" x14ac:dyDescent="0.25">
      <c r="U1226" s="129"/>
    </row>
    <row r="1227" spans="21:21" x14ac:dyDescent="0.25">
      <c r="U1227" s="129"/>
    </row>
    <row r="1228" spans="21:21" x14ac:dyDescent="0.25">
      <c r="U1228" s="129"/>
    </row>
    <row r="1229" spans="21:21" x14ac:dyDescent="0.25">
      <c r="U1229" s="129"/>
    </row>
    <row r="1230" spans="21:21" x14ac:dyDescent="0.25">
      <c r="U1230" s="129"/>
    </row>
    <row r="1231" spans="21:21" x14ac:dyDescent="0.25">
      <c r="U1231" s="129"/>
    </row>
    <row r="1232" spans="21:21" x14ac:dyDescent="0.25">
      <c r="U1232" s="129"/>
    </row>
    <row r="1233" spans="21:21" x14ac:dyDescent="0.25">
      <c r="U1233" s="129"/>
    </row>
    <row r="1234" spans="21:21" x14ac:dyDescent="0.25">
      <c r="U1234" s="129"/>
    </row>
    <row r="1235" spans="21:21" x14ac:dyDescent="0.25">
      <c r="U1235" s="129"/>
    </row>
    <row r="1236" spans="21:21" x14ac:dyDescent="0.25">
      <c r="U1236" s="129"/>
    </row>
    <row r="1237" spans="21:21" x14ac:dyDescent="0.25">
      <c r="U1237" s="129"/>
    </row>
    <row r="1238" spans="21:21" x14ac:dyDescent="0.25">
      <c r="U1238" s="129"/>
    </row>
    <row r="1239" spans="21:21" x14ac:dyDescent="0.25">
      <c r="U1239" s="129"/>
    </row>
    <row r="1240" spans="21:21" x14ac:dyDescent="0.25">
      <c r="U1240" s="129"/>
    </row>
    <row r="1241" spans="21:21" x14ac:dyDescent="0.25">
      <c r="U1241" s="129"/>
    </row>
    <row r="1242" spans="21:21" x14ac:dyDescent="0.25">
      <c r="U1242" s="129"/>
    </row>
    <row r="1243" spans="21:21" x14ac:dyDescent="0.25">
      <c r="U1243" s="129"/>
    </row>
    <row r="1244" spans="21:21" x14ac:dyDescent="0.25">
      <c r="U1244" s="129"/>
    </row>
    <row r="1245" spans="21:21" x14ac:dyDescent="0.25">
      <c r="U1245" s="129"/>
    </row>
    <row r="1246" spans="21:21" x14ac:dyDescent="0.25">
      <c r="U1246" s="129"/>
    </row>
    <row r="1247" spans="21:21" x14ac:dyDescent="0.25">
      <c r="U1247" s="129"/>
    </row>
    <row r="1248" spans="21:21" x14ac:dyDescent="0.25">
      <c r="U1248" s="129"/>
    </row>
    <row r="1249" spans="21:21" x14ac:dyDescent="0.25">
      <c r="U1249" s="129"/>
    </row>
    <row r="1250" spans="21:21" x14ac:dyDescent="0.25">
      <c r="U1250" s="129"/>
    </row>
    <row r="1251" spans="21:21" x14ac:dyDescent="0.25">
      <c r="U1251" s="129"/>
    </row>
    <row r="1252" spans="21:21" x14ac:dyDescent="0.25">
      <c r="U1252" s="129"/>
    </row>
    <row r="1253" spans="21:21" x14ac:dyDescent="0.25">
      <c r="U1253" s="129"/>
    </row>
    <row r="1254" spans="21:21" x14ac:dyDescent="0.25">
      <c r="U1254" s="129"/>
    </row>
    <row r="1255" spans="21:21" x14ac:dyDescent="0.25">
      <c r="U1255" s="129"/>
    </row>
    <row r="1256" spans="21:21" x14ac:dyDescent="0.25">
      <c r="U1256" s="129"/>
    </row>
    <row r="1257" spans="21:21" x14ac:dyDescent="0.25">
      <c r="U1257" s="129"/>
    </row>
    <row r="1258" spans="21:21" x14ac:dyDescent="0.25">
      <c r="U1258" s="129"/>
    </row>
    <row r="1259" spans="21:21" x14ac:dyDescent="0.25">
      <c r="U1259" s="129"/>
    </row>
    <row r="1260" spans="21:21" x14ac:dyDescent="0.25">
      <c r="U1260" s="129"/>
    </row>
    <row r="1261" spans="21:21" x14ac:dyDescent="0.25">
      <c r="U1261" s="129"/>
    </row>
    <row r="1262" spans="21:21" x14ac:dyDescent="0.25">
      <c r="U1262" s="129"/>
    </row>
    <row r="1263" spans="21:21" x14ac:dyDescent="0.25">
      <c r="U1263" s="129"/>
    </row>
    <row r="1264" spans="21:21" x14ac:dyDescent="0.25">
      <c r="U1264" s="129"/>
    </row>
    <row r="1265" spans="21:21" x14ac:dyDescent="0.25">
      <c r="U1265" s="129"/>
    </row>
    <row r="1266" spans="21:21" x14ac:dyDescent="0.25">
      <c r="U1266" s="129"/>
    </row>
    <row r="1267" spans="21:21" x14ac:dyDescent="0.25">
      <c r="U1267" s="129"/>
    </row>
    <row r="1268" spans="21:21" x14ac:dyDescent="0.25">
      <c r="U1268" s="129"/>
    </row>
    <row r="1269" spans="21:21" x14ac:dyDescent="0.25">
      <c r="U1269" s="129"/>
    </row>
    <row r="1270" spans="21:21" x14ac:dyDescent="0.25">
      <c r="U1270" s="129"/>
    </row>
    <row r="1271" spans="21:21" x14ac:dyDescent="0.25">
      <c r="U1271" s="129"/>
    </row>
    <row r="1272" spans="21:21" x14ac:dyDescent="0.25">
      <c r="U1272" s="129"/>
    </row>
    <row r="1273" spans="21:21" x14ac:dyDescent="0.25">
      <c r="U1273" s="129"/>
    </row>
    <row r="1274" spans="21:21" x14ac:dyDescent="0.25">
      <c r="U1274" s="129"/>
    </row>
    <row r="1275" spans="21:21" x14ac:dyDescent="0.25">
      <c r="U1275" s="129"/>
    </row>
    <row r="1276" spans="21:21" x14ac:dyDescent="0.25">
      <c r="U1276" s="129"/>
    </row>
    <row r="1277" spans="21:21" x14ac:dyDescent="0.25">
      <c r="U1277" s="129"/>
    </row>
    <row r="1278" spans="21:21" x14ac:dyDescent="0.25">
      <c r="U1278" s="129"/>
    </row>
    <row r="1279" spans="21:21" x14ac:dyDescent="0.25">
      <c r="U1279" s="129"/>
    </row>
    <row r="1280" spans="21:21" x14ac:dyDescent="0.25">
      <c r="U1280" s="129"/>
    </row>
    <row r="1281" spans="21:21" x14ac:dyDescent="0.25">
      <c r="U1281" s="129"/>
    </row>
    <row r="1282" spans="21:21" x14ac:dyDescent="0.25">
      <c r="U1282" s="129"/>
    </row>
    <row r="1283" spans="21:21" x14ac:dyDescent="0.25">
      <c r="U1283" s="129"/>
    </row>
    <row r="1284" spans="21:21" x14ac:dyDescent="0.25">
      <c r="U1284" s="129"/>
    </row>
    <row r="1285" spans="21:21" x14ac:dyDescent="0.25">
      <c r="U1285" s="129"/>
    </row>
    <row r="1286" spans="21:21" x14ac:dyDescent="0.25">
      <c r="U1286" s="129"/>
    </row>
    <row r="1287" spans="21:21" x14ac:dyDescent="0.25">
      <c r="U1287" s="129"/>
    </row>
    <row r="1288" spans="21:21" x14ac:dyDescent="0.25">
      <c r="U1288" s="129"/>
    </row>
    <row r="1289" spans="21:21" x14ac:dyDescent="0.25">
      <c r="U1289" s="129"/>
    </row>
    <row r="1290" spans="21:21" x14ac:dyDescent="0.25">
      <c r="U1290" s="129"/>
    </row>
    <row r="1291" spans="21:21" x14ac:dyDescent="0.25">
      <c r="U1291" s="129"/>
    </row>
    <row r="1292" spans="21:21" x14ac:dyDescent="0.25">
      <c r="U1292" s="129"/>
    </row>
    <row r="1293" spans="21:21" x14ac:dyDescent="0.25">
      <c r="U1293" s="129"/>
    </row>
    <row r="1294" spans="21:21" x14ac:dyDescent="0.25">
      <c r="U1294" s="129"/>
    </row>
    <row r="1295" spans="21:21" x14ac:dyDescent="0.25">
      <c r="U1295" s="129"/>
    </row>
    <row r="1296" spans="21:21" x14ac:dyDescent="0.25">
      <c r="U1296" s="129"/>
    </row>
    <row r="1297" spans="21:21" x14ac:dyDescent="0.25">
      <c r="U1297" s="129"/>
    </row>
    <row r="1298" spans="21:21" x14ac:dyDescent="0.25">
      <c r="U1298" s="129"/>
    </row>
    <row r="1299" spans="21:21" x14ac:dyDescent="0.25">
      <c r="U1299" s="129"/>
    </row>
    <row r="1300" spans="21:21" x14ac:dyDescent="0.25">
      <c r="U1300" s="129"/>
    </row>
    <row r="1301" spans="21:21" x14ac:dyDescent="0.25">
      <c r="U1301" s="129"/>
    </row>
    <row r="1302" spans="21:21" x14ac:dyDescent="0.25">
      <c r="U1302" s="129"/>
    </row>
    <row r="1303" spans="21:21" x14ac:dyDescent="0.25">
      <c r="U1303" s="129"/>
    </row>
    <row r="1304" spans="21:21" x14ac:dyDescent="0.25">
      <c r="U1304" s="129"/>
    </row>
    <row r="1305" spans="21:21" x14ac:dyDescent="0.25">
      <c r="U1305" s="129"/>
    </row>
    <row r="1306" spans="21:21" x14ac:dyDescent="0.25">
      <c r="U1306" s="129"/>
    </row>
    <row r="1307" spans="21:21" x14ac:dyDescent="0.25">
      <c r="U1307" s="129"/>
    </row>
    <row r="1308" spans="21:21" x14ac:dyDescent="0.25">
      <c r="U1308" s="129"/>
    </row>
    <row r="1309" spans="21:21" x14ac:dyDescent="0.25">
      <c r="U1309" s="129"/>
    </row>
    <row r="1310" spans="21:21" x14ac:dyDescent="0.25">
      <c r="U1310" s="129"/>
    </row>
    <row r="1311" spans="21:21" x14ac:dyDescent="0.25">
      <c r="U1311" s="129"/>
    </row>
    <row r="1312" spans="21:21" x14ac:dyDescent="0.25">
      <c r="U1312" s="129"/>
    </row>
    <row r="1313" spans="21:21" x14ac:dyDescent="0.25">
      <c r="U1313" s="129"/>
    </row>
    <row r="1314" spans="21:21" x14ac:dyDescent="0.25">
      <c r="U1314" s="129"/>
    </row>
    <row r="1315" spans="21:21" x14ac:dyDescent="0.25">
      <c r="U1315" s="129"/>
    </row>
    <row r="1316" spans="21:21" x14ac:dyDescent="0.25">
      <c r="U1316" s="129"/>
    </row>
    <row r="1317" spans="21:21" x14ac:dyDescent="0.25">
      <c r="U1317" s="129"/>
    </row>
    <row r="1318" spans="21:21" x14ac:dyDescent="0.25">
      <c r="U1318" s="129"/>
    </row>
    <row r="1319" spans="21:21" x14ac:dyDescent="0.25">
      <c r="U1319" s="129"/>
    </row>
    <row r="1320" spans="21:21" x14ac:dyDescent="0.25">
      <c r="U1320" s="129"/>
    </row>
    <row r="1321" spans="21:21" x14ac:dyDescent="0.25">
      <c r="U1321" s="129"/>
    </row>
    <row r="1322" spans="21:21" x14ac:dyDescent="0.25">
      <c r="U1322" s="129"/>
    </row>
    <row r="1323" spans="21:21" x14ac:dyDescent="0.25">
      <c r="U1323" s="129"/>
    </row>
    <row r="1324" spans="21:21" x14ac:dyDescent="0.25">
      <c r="U1324" s="129"/>
    </row>
    <row r="1325" spans="21:21" x14ac:dyDescent="0.25">
      <c r="U1325" s="129"/>
    </row>
    <row r="1326" spans="21:21" x14ac:dyDescent="0.25">
      <c r="U1326" s="129"/>
    </row>
    <row r="1327" spans="21:21" x14ac:dyDescent="0.25">
      <c r="U1327" s="129"/>
    </row>
    <row r="1328" spans="21:21" x14ac:dyDescent="0.25">
      <c r="U1328" s="129"/>
    </row>
    <row r="1329" spans="21:21" x14ac:dyDescent="0.25">
      <c r="U1329" s="129"/>
    </row>
    <row r="1330" spans="21:21" x14ac:dyDescent="0.25">
      <c r="U1330" s="129"/>
    </row>
    <row r="1331" spans="21:21" x14ac:dyDescent="0.25">
      <c r="U1331" s="129"/>
    </row>
    <row r="1332" spans="21:21" x14ac:dyDescent="0.25">
      <c r="U1332" s="129"/>
    </row>
    <row r="1333" spans="21:21" x14ac:dyDescent="0.25">
      <c r="U1333" s="129"/>
    </row>
    <row r="1334" spans="21:21" x14ac:dyDescent="0.25">
      <c r="U1334" s="129"/>
    </row>
    <row r="1335" spans="21:21" x14ac:dyDescent="0.25">
      <c r="U1335" s="129"/>
    </row>
    <row r="1336" spans="21:21" x14ac:dyDescent="0.25">
      <c r="U1336" s="129"/>
    </row>
    <row r="1337" spans="21:21" x14ac:dyDescent="0.25">
      <c r="U1337" s="129"/>
    </row>
    <row r="1338" spans="21:21" x14ac:dyDescent="0.25">
      <c r="U1338" s="129"/>
    </row>
    <row r="1339" spans="21:21" x14ac:dyDescent="0.25">
      <c r="U1339" s="129"/>
    </row>
    <row r="1340" spans="21:21" x14ac:dyDescent="0.25">
      <c r="U1340" s="129"/>
    </row>
    <row r="1341" spans="21:21" x14ac:dyDescent="0.25">
      <c r="U1341" s="129"/>
    </row>
    <row r="1342" spans="21:21" x14ac:dyDescent="0.25">
      <c r="U1342" s="129"/>
    </row>
    <row r="1343" spans="21:21" x14ac:dyDescent="0.25">
      <c r="U1343" s="129"/>
    </row>
    <row r="1344" spans="21:21" x14ac:dyDescent="0.25">
      <c r="U1344" s="129"/>
    </row>
    <row r="1345" spans="21:21" x14ac:dyDescent="0.25">
      <c r="U1345" s="129"/>
    </row>
    <row r="1346" spans="21:21" x14ac:dyDescent="0.25">
      <c r="U1346" s="129"/>
    </row>
    <row r="1347" spans="21:21" x14ac:dyDescent="0.25">
      <c r="U1347" s="129"/>
    </row>
    <row r="1348" spans="21:21" x14ac:dyDescent="0.25">
      <c r="U1348" s="129"/>
    </row>
    <row r="1349" spans="21:21" x14ac:dyDescent="0.25">
      <c r="U1349" s="129"/>
    </row>
    <row r="1350" spans="21:21" x14ac:dyDescent="0.25">
      <c r="U1350" s="129"/>
    </row>
    <row r="1351" spans="21:21" x14ac:dyDescent="0.25">
      <c r="U1351" s="129"/>
    </row>
    <row r="1352" spans="21:21" x14ac:dyDescent="0.25">
      <c r="U1352" s="129"/>
    </row>
    <row r="1353" spans="21:21" x14ac:dyDescent="0.25">
      <c r="U1353" s="129"/>
    </row>
    <row r="1354" spans="21:21" x14ac:dyDescent="0.25">
      <c r="U1354" s="129"/>
    </row>
    <row r="1355" spans="21:21" x14ac:dyDescent="0.25">
      <c r="U1355" s="129"/>
    </row>
    <row r="1356" spans="21:21" x14ac:dyDescent="0.25">
      <c r="U1356" s="129"/>
    </row>
    <row r="1357" spans="21:21" x14ac:dyDescent="0.25">
      <c r="U1357" s="129"/>
    </row>
    <row r="1358" spans="21:21" x14ac:dyDescent="0.25">
      <c r="U1358" s="129"/>
    </row>
    <row r="1359" spans="21:21" x14ac:dyDescent="0.25">
      <c r="U1359" s="129"/>
    </row>
    <row r="1360" spans="21:21" x14ac:dyDescent="0.25">
      <c r="U1360" s="129"/>
    </row>
    <row r="1361" spans="21:21" x14ac:dyDescent="0.25">
      <c r="U1361" s="129"/>
    </row>
    <row r="1362" spans="21:21" x14ac:dyDescent="0.25">
      <c r="U1362" s="129"/>
    </row>
    <row r="1363" spans="21:21" x14ac:dyDescent="0.25">
      <c r="U1363" s="129"/>
    </row>
    <row r="1364" spans="21:21" x14ac:dyDescent="0.25">
      <c r="U1364" s="129"/>
    </row>
    <row r="1365" spans="21:21" x14ac:dyDescent="0.25">
      <c r="U1365" s="129"/>
    </row>
    <row r="1366" spans="21:21" x14ac:dyDescent="0.25">
      <c r="U1366" s="129"/>
    </row>
    <row r="1367" spans="21:21" x14ac:dyDescent="0.25">
      <c r="U1367" s="129"/>
    </row>
    <row r="1368" spans="21:21" x14ac:dyDescent="0.25">
      <c r="U1368" s="129"/>
    </row>
    <row r="1369" spans="21:21" x14ac:dyDescent="0.25">
      <c r="U1369" s="129"/>
    </row>
    <row r="1370" spans="21:21" x14ac:dyDescent="0.25">
      <c r="U1370" s="129"/>
    </row>
    <row r="1371" spans="21:21" x14ac:dyDescent="0.25">
      <c r="U1371" s="129"/>
    </row>
    <row r="1372" spans="21:21" x14ac:dyDescent="0.25">
      <c r="U1372" s="129"/>
    </row>
    <row r="1373" spans="21:21" x14ac:dyDescent="0.25">
      <c r="U1373" s="129"/>
    </row>
    <row r="1374" spans="21:21" x14ac:dyDescent="0.25">
      <c r="U1374" s="129"/>
    </row>
    <row r="1375" spans="21:21" x14ac:dyDescent="0.25">
      <c r="U1375" s="129"/>
    </row>
    <row r="1376" spans="21:21" x14ac:dyDescent="0.25">
      <c r="U1376" s="129"/>
    </row>
    <row r="1377" spans="21:21" x14ac:dyDescent="0.25">
      <c r="U1377" s="129"/>
    </row>
    <row r="1378" spans="21:21" x14ac:dyDescent="0.25">
      <c r="U1378" s="129"/>
    </row>
    <row r="1379" spans="21:21" x14ac:dyDescent="0.25">
      <c r="U1379" s="129"/>
    </row>
    <row r="1380" spans="21:21" x14ac:dyDescent="0.25">
      <c r="U1380" s="129"/>
    </row>
    <row r="1381" spans="21:21" x14ac:dyDescent="0.25">
      <c r="U1381" s="129"/>
    </row>
    <row r="1382" spans="21:21" x14ac:dyDescent="0.25">
      <c r="U1382" s="129"/>
    </row>
    <row r="1383" spans="21:21" x14ac:dyDescent="0.25">
      <c r="U1383" s="129"/>
    </row>
    <row r="1384" spans="21:21" x14ac:dyDescent="0.25">
      <c r="U1384" s="129"/>
    </row>
    <row r="1385" spans="21:21" x14ac:dyDescent="0.25">
      <c r="U1385" s="129"/>
    </row>
    <row r="1386" spans="21:21" x14ac:dyDescent="0.25">
      <c r="U1386" s="129"/>
    </row>
    <row r="1387" spans="21:21" x14ac:dyDescent="0.25">
      <c r="U1387" s="129"/>
    </row>
    <row r="1388" spans="21:21" x14ac:dyDescent="0.25">
      <c r="U1388" s="129"/>
    </row>
    <row r="1389" spans="21:21" x14ac:dyDescent="0.25">
      <c r="U1389" s="129"/>
    </row>
    <row r="1390" spans="21:21" x14ac:dyDescent="0.25">
      <c r="U1390" s="129"/>
    </row>
    <row r="1391" spans="21:21" x14ac:dyDescent="0.25">
      <c r="U1391" s="129"/>
    </row>
    <row r="1392" spans="21:21" x14ac:dyDescent="0.25">
      <c r="U1392" s="129"/>
    </row>
    <row r="1393" spans="21:21" x14ac:dyDescent="0.25">
      <c r="U1393" s="129"/>
    </row>
    <row r="1394" spans="21:21" x14ac:dyDescent="0.25">
      <c r="U1394" s="129"/>
    </row>
    <row r="1395" spans="21:21" x14ac:dyDescent="0.25">
      <c r="U1395" s="129"/>
    </row>
    <row r="1396" spans="21:21" x14ac:dyDescent="0.25">
      <c r="U1396" s="129"/>
    </row>
    <row r="1397" spans="21:21" x14ac:dyDescent="0.25">
      <c r="U1397" s="129"/>
    </row>
    <row r="1398" spans="21:21" x14ac:dyDescent="0.25">
      <c r="U1398" s="129"/>
    </row>
    <row r="1399" spans="21:21" x14ac:dyDescent="0.25">
      <c r="U1399" s="129"/>
    </row>
    <row r="1400" spans="21:21" x14ac:dyDescent="0.25">
      <c r="U1400" s="129"/>
    </row>
    <row r="1401" spans="21:21" x14ac:dyDescent="0.25">
      <c r="U1401" s="129"/>
    </row>
    <row r="1402" spans="21:21" x14ac:dyDescent="0.25">
      <c r="U1402" s="129"/>
    </row>
    <row r="1403" spans="21:21" x14ac:dyDescent="0.25">
      <c r="U1403" s="129"/>
    </row>
    <row r="1404" spans="21:21" x14ac:dyDescent="0.25">
      <c r="U1404" s="129"/>
    </row>
    <row r="1405" spans="21:21" x14ac:dyDescent="0.25">
      <c r="U1405" s="129"/>
    </row>
    <row r="1406" spans="21:21" x14ac:dyDescent="0.25">
      <c r="U1406" s="129"/>
    </row>
    <row r="1407" spans="21:21" x14ac:dyDescent="0.25">
      <c r="U1407" s="129"/>
    </row>
    <row r="1408" spans="21:21" x14ac:dyDescent="0.25">
      <c r="U1408" s="129"/>
    </row>
    <row r="1409" spans="21:21" x14ac:dyDescent="0.25">
      <c r="U1409" s="129"/>
    </row>
    <row r="1410" spans="21:21" x14ac:dyDescent="0.25">
      <c r="U1410" s="129"/>
    </row>
    <row r="1411" spans="21:21" x14ac:dyDescent="0.25">
      <c r="U1411" s="129"/>
    </row>
    <row r="1412" spans="21:21" x14ac:dyDescent="0.25">
      <c r="U1412" s="129"/>
    </row>
    <row r="1413" spans="21:21" x14ac:dyDescent="0.25">
      <c r="U1413" s="129"/>
    </row>
    <row r="1414" spans="21:21" x14ac:dyDescent="0.25">
      <c r="U1414" s="129"/>
    </row>
    <row r="1415" spans="21:21" x14ac:dyDescent="0.25">
      <c r="U1415" s="129"/>
    </row>
    <row r="1416" spans="21:21" x14ac:dyDescent="0.25">
      <c r="U1416" s="129"/>
    </row>
    <row r="1417" spans="21:21" x14ac:dyDescent="0.25">
      <c r="U1417" s="129"/>
    </row>
    <row r="1418" spans="21:21" x14ac:dyDescent="0.25">
      <c r="U1418" s="129"/>
    </row>
    <row r="1419" spans="21:21" x14ac:dyDescent="0.25">
      <c r="U1419" s="129"/>
    </row>
    <row r="1420" spans="21:21" x14ac:dyDescent="0.25">
      <c r="U1420" s="129"/>
    </row>
    <row r="1421" spans="21:21" x14ac:dyDescent="0.25">
      <c r="U1421" s="129"/>
    </row>
    <row r="1422" spans="21:21" x14ac:dyDescent="0.25">
      <c r="U1422" s="129"/>
    </row>
    <row r="1423" spans="21:21" x14ac:dyDescent="0.25">
      <c r="U1423" s="129"/>
    </row>
    <row r="1424" spans="21:21" x14ac:dyDescent="0.25">
      <c r="U1424" s="129"/>
    </row>
    <row r="1425" spans="21:21" x14ac:dyDescent="0.25">
      <c r="U1425" s="129"/>
    </row>
    <row r="1426" spans="21:21" x14ac:dyDescent="0.25">
      <c r="U1426" s="129"/>
    </row>
    <row r="1427" spans="21:21" x14ac:dyDescent="0.25">
      <c r="U1427" s="129"/>
    </row>
    <row r="1428" spans="21:21" x14ac:dyDescent="0.25">
      <c r="U1428" s="129"/>
    </row>
    <row r="1429" spans="21:21" x14ac:dyDescent="0.25">
      <c r="U1429" s="129"/>
    </row>
    <row r="1430" spans="21:21" x14ac:dyDescent="0.25">
      <c r="U1430" s="129"/>
    </row>
    <row r="1431" spans="21:21" x14ac:dyDescent="0.25">
      <c r="U1431" s="129"/>
    </row>
    <row r="1432" spans="21:21" x14ac:dyDescent="0.25">
      <c r="U1432" s="129"/>
    </row>
    <row r="1433" spans="21:21" x14ac:dyDescent="0.25">
      <c r="U1433" s="129"/>
    </row>
    <row r="1434" spans="21:21" x14ac:dyDescent="0.25">
      <c r="U1434" s="129"/>
    </row>
    <row r="1435" spans="21:21" x14ac:dyDescent="0.25">
      <c r="U1435" s="129"/>
    </row>
    <row r="1436" spans="21:21" x14ac:dyDescent="0.25">
      <c r="U1436" s="129"/>
    </row>
    <row r="1437" spans="21:21" x14ac:dyDescent="0.25">
      <c r="U1437" s="129"/>
    </row>
    <row r="1438" spans="21:21" x14ac:dyDescent="0.25">
      <c r="U1438" s="129"/>
    </row>
    <row r="1439" spans="21:21" x14ac:dyDescent="0.25">
      <c r="U1439" s="129"/>
    </row>
    <row r="1440" spans="21:21" x14ac:dyDescent="0.25">
      <c r="U1440" s="129"/>
    </row>
    <row r="1441" spans="21:21" x14ac:dyDescent="0.25">
      <c r="U1441" s="129"/>
    </row>
    <row r="1442" spans="21:21" x14ac:dyDescent="0.25">
      <c r="U1442" s="129"/>
    </row>
    <row r="1443" spans="21:21" x14ac:dyDescent="0.25">
      <c r="U1443" s="129"/>
    </row>
    <row r="1444" spans="21:21" x14ac:dyDescent="0.25">
      <c r="U1444" s="129"/>
    </row>
    <row r="1445" spans="21:21" x14ac:dyDescent="0.25">
      <c r="U1445" s="129"/>
    </row>
    <row r="1446" spans="21:21" x14ac:dyDescent="0.25">
      <c r="U1446" s="129"/>
    </row>
    <row r="1447" spans="21:21" x14ac:dyDescent="0.25">
      <c r="U1447" s="129"/>
    </row>
    <row r="1448" spans="21:21" x14ac:dyDescent="0.25">
      <c r="U1448" s="129"/>
    </row>
    <row r="1449" spans="21:21" x14ac:dyDescent="0.25">
      <c r="U1449" s="129"/>
    </row>
    <row r="1450" spans="21:21" x14ac:dyDescent="0.25">
      <c r="U1450" s="129"/>
    </row>
    <row r="1451" spans="21:21" x14ac:dyDescent="0.25">
      <c r="U1451" s="129"/>
    </row>
    <row r="1452" spans="21:21" x14ac:dyDescent="0.25">
      <c r="U1452" s="129"/>
    </row>
    <row r="1453" spans="21:21" x14ac:dyDescent="0.25">
      <c r="U1453" s="129"/>
    </row>
    <row r="1454" spans="21:21" x14ac:dyDescent="0.25">
      <c r="U1454" s="129"/>
    </row>
    <row r="1455" spans="21:21" x14ac:dyDescent="0.25">
      <c r="U1455" s="129"/>
    </row>
    <row r="1456" spans="21:21" x14ac:dyDescent="0.25">
      <c r="U1456" s="129"/>
    </row>
    <row r="1457" spans="21:21" x14ac:dyDescent="0.25">
      <c r="U1457" s="129"/>
    </row>
    <row r="1458" spans="21:21" x14ac:dyDescent="0.25">
      <c r="U1458" s="129"/>
    </row>
    <row r="1459" spans="21:21" x14ac:dyDescent="0.25">
      <c r="U1459" s="129"/>
    </row>
    <row r="1460" spans="21:21" x14ac:dyDescent="0.25">
      <c r="U1460" s="129"/>
    </row>
    <row r="1461" spans="21:21" x14ac:dyDescent="0.25">
      <c r="U1461" s="129"/>
    </row>
    <row r="1462" spans="21:21" x14ac:dyDescent="0.25">
      <c r="U1462" s="129"/>
    </row>
    <row r="1463" spans="21:21" x14ac:dyDescent="0.25">
      <c r="U1463" s="129"/>
    </row>
    <row r="1464" spans="21:21" x14ac:dyDescent="0.25">
      <c r="U1464" s="129"/>
    </row>
    <row r="1465" spans="21:21" x14ac:dyDescent="0.25">
      <c r="U1465" s="129"/>
    </row>
    <row r="1466" spans="21:21" x14ac:dyDescent="0.25">
      <c r="U1466" s="129"/>
    </row>
    <row r="1467" spans="21:21" x14ac:dyDescent="0.25">
      <c r="U1467" s="129"/>
    </row>
    <row r="1468" spans="21:21" x14ac:dyDescent="0.25">
      <c r="U1468" s="129"/>
    </row>
    <row r="1469" spans="21:21" x14ac:dyDescent="0.25">
      <c r="U1469" s="129"/>
    </row>
    <row r="1470" spans="21:21" x14ac:dyDescent="0.25">
      <c r="U1470" s="129"/>
    </row>
    <row r="1471" spans="21:21" x14ac:dyDescent="0.25">
      <c r="U1471" s="129"/>
    </row>
    <row r="1472" spans="21:21" x14ac:dyDescent="0.25">
      <c r="U1472" s="129"/>
    </row>
    <row r="1473" spans="21:21" x14ac:dyDescent="0.25">
      <c r="U1473" s="129"/>
    </row>
    <row r="1474" spans="21:21" x14ac:dyDescent="0.25">
      <c r="U1474" s="129"/>
    </row>
    <row r="1475" spans="21:21" x14ac:dyDescent="0.25">
      <c r="U1475" s="129"/>
    </row>
    <row r="1476" spans="21:21" x14ac:dyDescent="0.25">
      <c r="U1476" s="129"/>
    </row>
    <row r="1477" spans="21:21" x14ac:dyDescent="0.25">
      <c r="U1477" s="129"/>
    </row>
    <row r="1478" spans="21:21" x14ac:dyDescent="0.25">
      <c r="U1478" s="129"/>
    </row>
    <row r="1479" spans="21:21" x14ac:dyDescent="0.25">
      <c r="U1479" s="129"/>
    </row>
    <row r="1480" spans="21:21" x14ac:dyDescent="0.25">
      <c r="U1480" s="129"/>
    </row>
    <row r="1481" spans="21:21" x14ac:dyDescent="0.25">
      <c r="U1481" s="129"/>
    </row>
    <row r="1482" spans="21:21" x14ac:dyDescent="0.25">
      <c r="U1482" s="129"/>
    </row>
    <row r="1483" spans="21:21" x14ac:dyDescent="0.25">
      <c r="U1483" s="129"/>
    </row>
    <row r="1484" spans="21:21" x14ac:dyDescent="0.25">
      <c r="U1484" s="129"/>
    </row>
    <row r="1485" spans="21:21" x14ac:dyDescent="0.25">
      <c r="U1485" s="129"/>
    </row>
    <row r="1486" spans="21:21" x14ac:dyDescent="0.25">
      <c r="U1486" s="129"/>
    </row>
    <row r="1487" spans="21:21" x14ac:dyDescent="0.25">
      <c r="U1487" s="129"/>
    </row>
    <row r="1488" spans="21:21" x14ac:dyDescent="0.25">
      <c r="U1488" s="129"/>
    </row>
    <row r="1489" spans="21:21" x14ac:dyDescent="0.25">
      <c r="U1489" s="129"/>
    </row>
    <row r="1490" spans="21:21" x14ac:dyDescent="0.25">
      <c r="U1490" s="129"/>
    </row>
    <row r="1491" spans="21:21" x14ac:dyDescent="0.25">
      <c r="U1491" s="129"/>
    </row>
    <row r="1492" spans="21:21" x14ac:dyDescent="0.25">
      <c r="U1492" s="129"/>
    </row>
    <row r="1493" spans="21:21" x14ac:dyDescent="0.25">
      <c r="U1493" s="129"/>
    </row>
    <row r="1494" spans="21:21" x14ac:dyDescent="0.25">
      <c r="U1494" s="129"/>
    </row>
    <row r="1495" spans="21:21" x14ac:dyDescent="0.25">
      <c r="U1495" s="129"/>
    </row>
    <row r="1496" spans="21:21" x14ac:dyDescent="0.25">
      <c r="U1496" s="129"/>
    </row>
    <row r="1497" spans="21:21" x14ac:dyDescent="0.25">
      <c r="U1497" s="129"/>
    </row>
    <row r="1498" spans="21:21" x14ac:dyDescent="0.25">
      <c r="U1498" s="129"/>
    </row>
    <row r="1499" spans="21:21" x14ac:dyDescent="0.25">
      <c r="U1499" s="129"/>
    </row>
    <row r="1500" spans="21:21" x14ac:dyDescent="0.25">
      <c r="U1500" s="129"/>
    </row>
    <row r="1501" spans="21:21" x14ac:dyDescent="0.25">
      <c r="U1501" s="129"/>
    </row>
    <row r="1502" spans="21:21" x14ac:dyDescent="0.25">
      <c r="U1502" s="129"/>
    </row>
    <row r="1503" spans="21:21" x14ac:dyDescent="0.25">
      <c r="U1503" s="129"/>
    </row>
    <row r="1504" spans="21:21" x14ac:dyDescent="0.25">
      <c r="U1504" s="129"/>
    </row>
    <row r="1505" spans="21:21" x14ac:dyDescent="0.25">
      <c r="U1505" s="129"/>
    </row>
    <row r="1506" spans="21:21" x14ac:dyDescent="0.25">
      <c r="U1506" s="129"/>
    </row>
    <row r="1507" spans="21:21" x14ac:dyDescent="0.25">
      <c r="U1507" s="129"/>
    </row>
    <row r="1508" spans="21:21" x14ac:dyDescent="0.25">
      <c r="U1508" s="129"/>
    </row>
    <row r="1509" spans="21:21" x14ac:dyDescent="0.25">
      <c r="U1509" s="129"/>
    </row>
    <row r="1510" spans="21:21" x14ac:dyDescent="0.25">
      <c r="U1510" s="129"/>
    </row>
    <row r="1511" spans="21:21" x14ac:dyDescent="0.25">
      <c r="U1511" s="129"/>
    </row>
    <row r="1512" spans="21:21" x14ac:dyDescent="0.25">
      <c r="U1512" s="129"/>
    </row>
    <row r="1513" spans="21:21" x14ac:dyDescent="0.25">
      <c r="U1513" s="129"/>
    </row>
    <row r="1514" spans="21:21" x14ac:dyDescent="0.25">
      <c r="U1514" s="129"/>
    </row>
    <row r="1515" spans="21:21" x14ac:dyDescent="0.25">
      <c r="U1515" s="129"/>
    </row>
    <row r="1516" spans="21:21" x14ac:dyDescent="0.25">
      <c r="U1516" s="129"/>
    </row>
    <row r="1517" spans="21:21" x14ac:dyDescent="0.25">
      <c r="U1517" s="129"/>
    </row>
    <row r="1518" spans="21:21" x14ac:dyDescent="0.25">
      <c r="U1518" s="129"/>
    </row>
    <row r="1519" spans="21:21" x14ac:dyDescent="0.25">
      <c r="U1519" s="129"/>
    </row>
    <row r="1520" spans="21:21" x14ac:dyDescent="0.25">
      <c r="U1520" s="129"/>
    </row>
    <row r="1521" spans="21:21" x14ac:dyDescent="0.25">
      <c r="U1521" s="129"/>
    </row>
    <row r="1522" spans="21:21" x14ac:dyDescent="0.25">
      <c r="U1522" s="129"/>
    </row>
    <row r="1523" spans="21:21" x14ac:dyDescent="0.25">
      <c r="U1523" s="129"/>
    </row>
    <row r="1524" spans="21:21" x14ac:dyDescent="0.25">
      <c r="U1524" s="129"/>
    </row>
    <row r="1525" spans="21:21" x14ac:dyDescent="0.25">
      <c r="U1525" s="129"/>
    </row>
    <row r="1526" spans="21:21" x14ac:dyDescent="0.25">
      <c r="U1526" s="129"/>
    </row>
    <row r="1527" spans="21:21" x14ac:dyDescent="0.25">
      <c r="U1527" s="129"/>
    </row>
    <row r="1528" spans="21:21" x14ac:dyDescent="0.25">
      <c r="U1528" s="129"/>
    </row>
    <row r="1529" spans="21:21" x14ac:dyDescent="0.25">
      <c r="U1529" s="129"/>
    </row>
    <row r="1530" spans="21:21" x14ac:dyDescent="0.25">
      <c r="U1530" s="129"/>
    </row>
    <row r="1531" spans="21:21" x14ac:dyDescent="0.25">
      <c r="U1531" s="129"/>
    </row>
    <row r="1532" spans="21:21" x14ac:dyDescent="0.25">
      <c r="U1532" s="129"/>
    </row>
    <row r="1533" spans="21:21" x14ac:dyDescent="0.25">
      <c r="U1533" s="129"/>
    </row>
    <row r="1534" spans="21:21" x14ac:dyDescent="0.25">
      <c r="U1534" s="129"/>
    </row>
    <row r="1535" spans="21:21" x14ac:dyDescent="0.25">
      <c r="U1535" s="129"/>
    </row>
    <row r="1536" spans="21:21" x14ac:dyDescent="0.25">
      <c r="U1536" s="129"/>
    </row>
    <row r="1537" spans="21:21" x14ac:dyDescent="0.25">
      <c r="U1537" s="129"/>
    </row>
    <row r="1538" spans="21:21" x14ac:dyDescent="0.25">
      <c r="U1538" s="129"/>
    </row>
    <row r="1539" spans="21:21" x14ac:dyDescent="0.25">
      <c r="U1539" s="129"/>
    </row>
    <row r="1540" spans="21:21" x14ac:dyDescent="0.25">
      <c r="U1540" s="129"/>
    </row>
    <row r="1541" spans="21:21" x14ac:dyDescent="0.25">
      <c r="U1541" s="129"/>
    </row>
    <row r="1542" spans="21:21" x14ac:dyDescent="0.25">
      <c r="U1542" s="129"/>
    </row>
    <row r="1543" spans="21:21" x14ac:dyDescent="0.25">
      <c r="U1543" s="129"/>
    </row>
    <row r="1544" spans="21:21" x14ac:dyDescent="0.25">
      <c r="U1544" s="129"/>
    </row>
    <row r="1545" spans="21:21" x14ac:dyDescent="0.25">
      <c r="U1545" s="129"/>
    </row>
    <row r="1546" spans="21:21" x14ac:dyDescent="0.25">
      <c r="U1546" s="129"/>
    </row>
    <row r="1547" spans="21:21" x14ac:dyDescent="0.25">
      <c r="U1547" s="129"/>
    </row>
    <row r="1548" spans="21:21" x14ac:dyDescent="0.25">
      <c r="U1548" s="129"/>
    </row>
    <row r="1549" spans="21:21" x14ac:dyDescent="0.25">
      <c r="U1549" s="129"/>
    </row>
    <row r="1550" spans="21:21" x14ac:dyDescent="0.25">
      <c r="U1550" s="129"/>
    </row>
    <row r="1551" spans="21:21" x14ac:dyDescent="0.25">
      <c r="U1551" s="129"/>
    </row>
    <row r="1552" spans="21:21" x14ac:dyDescent="0.25">
      <c r="U1552" s="129"/>
    </row>
    <row r="1553" spans="21:21" x14ac:dyDescent="0.25">
      <c r="U1553" s="129"/>
    </row>
    <row r="1554" spans="21:21" x14ac:dyDescent="0.25">
      <c r="U1554" s="129"/>
    </row>
    <row r="1555" spans="21:21" x14ac:dyDescent="0.25">
      <c r="U1555" s="129"/>
    </row>
    <row r="1556" spans="21:21" x14ac:dyDescent="0.25">
      <c r="U1556" s="129"/>
    </row>
    <row r="1557" spans="21:21" x14ac:dyDescent="0.25">
      <c r="U1557" s="129"/>
    </row>
    <row r="1558" spans="21:21" x14ac:dyDescent="0.25">
      <c r="U1558" s="129"/>
    </row>
    <row r="1559" spans="21:21" x14ac:dyDescent="0.25">
      <c r="U1559" s="129"/>
    </row>
    <row r="1560" spans="21:21" x14ac:dyDescent="0.25">
      <c r="U1560" s="129"/>
    </row>
    <row r="1561" spans="21:21" x14ac:dyDescent="0.25">
      <c r="U1561" s="129"/>
    </row>
    <row r="1562" spans="21:21" x14ac:dyDescent="0.25">
      <c r="U1562" s="129"/>
    </row>
    <row r="1563" spans="21:21" x14ac:dyDescent="0.25">
      <c r="U1563" s="129"/>
    </row>
    <row r="1564" spans="21:21" x14ac:dyDescent="0.25">
      <c r="U1564" s="129"/>
    </row>
    <row r="1565" spans="21:21" x14ac:dyDescent="0.25">
      <c r="U1565" s="129"/>
    </row>
    <row r="1566" spans="21:21" x14ac:dyDescent="0.25">
      <c r="U1566" s="129"/>
    </row>
    <row r="1567" spans="21:21" x14ac:dyDescent="0.25">
      <c r="U1567" s="129"/>
    </row>
    <row r="1568" spans="21:21" x14ac:dyDescent="0.25">
      <c r="U1568" s="129"/>
    </row>
    <row r="1569" spans="21:21" x14ac:dyDescent="0.25">
      <c r="U1569" s="129"/>
    </row>
    <row r="1570" spans="21:21" x14ac:dyDescent="0.25">
      <c r="U1570" s="129"/>
    </row>
    <row r="1571" spans="21:21" x14ac:dyDescent="0.25">
      <c r="U1571" s="129"/>
    </row>
    <row r="1572" spans="21:21" x14ac:dyDescent="0.25">
      <c r="U1572" s="129"/>
    </row>
    <row r="1573" spans="21:21" x14ac:dyDescent="0.25">
      <c r="U1573" s="129"/>
    </row>
    <row r="1574" spans="21:21" x14ac:dyDescent="0.25">
      <c r="U1574" s="129"/>
    </row>
    <row r="1575" spans="21:21" x14ac:dyDescent="0.25">
      <c r="U1575" s="129"/>
    </row>
    <row r="1576" spans="21:21" x14ac:dyDescent="0.25">
      <c r="U1576" s="129"/>
    </row>
    <row r="1577" spans="21:21" x14ac:dyDescent="0.25">
      <c r="U1577" s="129"/>
    </row>
    <row r="1578" spans="21:21" x14ac:dyDescent="0.25">
      <c r="U1578" s="129"/>
    </row>
    <row r="1579" spans="21:21" x14ac:dyDescent="0.25">
      <c r="U1579" s="129"/>
    </row>
    <row r="1580" spans="21:21" x14ac:dyDescent="0.25">
      <c r="U1580" s="129"/>
    </row>
    <row r="1581" spans="21:21" x14ac:dyDescent="0.25">
      <c r="U1581" s="129"/>
    </row>
    <row r="1582" spans="21:21" x14ac:dyDescent="0.25">
      <c r="U1582" s="129"/>
    </row>
    <row r="1583" spans="21:21" x14ac:dyDescent="0.25">
      <c r="U1583" s="129"/>
    </row>
    <row r="1584" spans="21:21" x14ac:dyDescent="0.25">
      <c r="U1584" s="129"/>
    </row>
    <row r="1585" spans="21:21" x14ac:dyDescent="0.25">
      <c r="U1585" s="129"/>
    </row>
    <row r="1586" spans="21:21" x14ac:dyDescent="0.25">
      <c r="U1586" s="129"/>
    </row>
    <row r="1587" spans="21:21" x14ac:dyDescent="0.25">
      <c r="U1587" s="129"/>
    </row>
    <row r="1588" spans="21:21" x14ac:dyDescent="0.25">
      <c r="U1588" s="129"/>
    </row>
    <row r="1589" spans="21:21" x14ac:dyDescent="0.25">
      <c r="U1589" s="129"/>
    </row>
    <row r="1590" spans="21:21" x14ac:dyDescent="0.25">
      <c r="U1590" s="129"/>
    </row>
    <row r="1591" spans="21:21" x14ac:dyDescent="0.25">
      <c r="U1591" s="129"/>
    </row>
    <row r="1592" spans="21:21" x14ac:dyDescent="0.25">
      <c r="U1592" s="129"/>
    </row>
    <row r="1593" spans="21:21" x14ac:dyDescent="0.25">
      <c r="U1593" s="129"/>
    </row>
    <row r="1594" spans="21:21" x14ac:dyDescent="0.25">
      <c r="U1594" s="129"/>
    </row>
    <row r="1595" spans="21:21" x14ac:dyDescent="0.25">
      <c r="U1595" s="129"/>
    </row>
    <row r="1596" spans="21:21" x14ac:dyDescent="0.25">
      <c r="U1596" s="129"/>
    </row>
    <row r="1597" spans="21:21" x14ac:dyDescent="0.25">
      <c r="U1597" s="129"/>
    </row>
    <row r="1598" spans="21:21" x14ac:dyDescent="0.25">
      <c r="U1598" s="129"/>
    </row>
    <row r="1599" spans="21:21" x14ac:dyDescent="0.25">
      <c r="U1599" s="129"/>
    </row>
    <row r="1600" spans="21:21" x14ac:dyDescent="0.25">
      <c r="U1600" s="129"/>
    </row>
    <row r="1601" spans="21:21" x14ac:dyDescent="0.25">
      <c r="U1601" s="129"/>
    </row>
    <row r="1602" spans="21:21" x14ac:dyDescent="0.25">
      <c r="U1602" s="129"/>
    </row>
    <row r="1603" spans="21:21" x14ac:dyDescent="0.25">
      <c r="U1603" s="129"/>
    </row>
    <row r="1604" spans="21:21" x14ac:dyDescent="0.25">
      <c r="U1604" s="129"/>
    </row>
    <row r="1605" spans="21:21" x14ac:dyDescent="0.25">
      <c r="U1605" s="129"/>
    </row>
    <row r="1606" spans="21:21" x14ac:dyDescent="0.25">
      <c r="U1606" s="129"/>
    </row>
    <row r="1607" spans="21:21" x14ac:dyDescent="0.25">
      <c r="U1607" s="129"/>
    </row>
    <row r="1608" spans="21:21" x14ac:dyDescent="0.25">
      <c r="U1608" s="129"/>
    </row>
    <row r="1609" spans="21:21" x14ac:dyDescent="0.25">
      <c r="U1609" s="129"/>
    </row>
    <row r="1610" spans="21:21" x14ac:dyDescent="0.25">
      <c r="U1610" s="129"/>
    </row>
    <row r="1611" spans="21:21" x14ac:dyDescent="0.25">
      <c r="U1611" s="129"/>
    </row>
    <row r="1612" spans="21:21" x14ac:dyDescent="0.25">
      <c r="U1612" s="129"/>
    </row>
    <row r="1613" spans="21:21" x14ac:dyDescent="0.25">
      <c r="U1613" s="129"/>
    </row>
    <row r="1614" spans="21:21" x14ac:dyDescent="0.25">
      <c r="U1614" s="129"/>
    </row>
    <row r="1615" spans="21:21" x14ac:dyDescent="0.25">
      <c r="U1615" s="129"/>
    </row>
    <row r="1616" spans="21:21" x14ac:dyDescent="0.25">
      <c r="U1616" s="129"/>
    </row>
    <row r="1617" spans="21:21" x14ac:dyDescent="0.25">
      <c r="U1617" s="129"/>
    </row>
    <row r="1618" spans="21:21" x14ac:dyDescent="0.25">
      <c r="U1618" s="129"/>
    </row>
    <row r="1619" spans="21:21" x14ac:dyDescent="0.25">
      <c r="U1619" s="129"/>
    </row>
    <row r="1620" spans="21:21" x14ac:dyDescent="0.25">
      <c r="U1620" s="129"/>
    </row>
    <row r="1621" spans="21:21" x14ac:dyDescent="0.25">
      <c r="U1621" s="129"/>
    </row>
    <row r="1622" spans="21:21" x14ac:dyDescent="0.25">
      <c r="U1622" s="129"/>
    </row>
    <row r="1623" spans="21:21" x14ac:dyDescent="0.25">
      <c r="U1623" s="129"/>
    </row>
    <row r="1624" spans="21:21" x14ac:dyDescent="0.25">
      <c r="U1624" s="129"/>
    </row>
    <row r="1625" spans="21:21" x14ac:dyDescent="0.25">
      <c r="U1625" s="129"/>
    </row>
    <row r="1626" spans="21:21" x14ac:dyDescent="0.25">
      <c r="U1626" s="129"/>
    </row>
    <row r="1627" spans="21:21" x14ac:dyDescent="0.25">
      <c r="U1627" s="129"/>
    </row>
    <row r="1628" spans="21:21" x14ac:dyDescent="0.25">
      <c r="U1628" s="129"/>
    </row>
    <row r="1629" spans="21:21" x14ac:dyDescent="0.25">
      <c r="U1629" s="129"/>
    </row>
    <row r="1630" spans="21:21" x14ac:dyDescent="0.25">
      <c r="U1630" s="129"/>
    </row>
    <row r="1631" spans="21:21" x14ac:dyDescent="0.25">
      <c r="U1631" s="129"/>
    </row>
    <row r="1632" spans="21:21" x14ac:dyDescent="0.25">
      <c r="U1632" s="129"/>
    </row>
    <row r="1633" spans="21:21" x14ac:dyDescent="0.25">
      <c r="U1633" s="129"/>
    </row>
    <row r="1634" spans="21:21" x14ac:dyDescent="0.25">
      <c r="U1634" s="129"/>
    </row>
    <row r="1635" spans="21:21" x14ac:dyDescent="0.25">
      <c r="U1635" s="129"/>
    </row>
    <row r="1636" spans="21:21" x14ac:dyDescent="0.25">
      <c r="U1636" s="129"/>
    </row>
    <row r="1637" spans="21:21" x14ac:dyDescent="0.25">
      <c r="U1637" s="129"/>
    </row>
    <row r="1638" spans="21:21" x14ac:dyDescent="0.25">
      <c r="U1638" s="129"/>
    </row>
    <row r="1639" spans="21:21" x14ac:dyDescent="0.25">
      <c r="U1639" s="129"/>
    </row>
    <row r="1640" spans="21:21" x14ac:dyDescent="0.25">
      <c r="U1640" s="129"/>
    </row>
    <row r="1641" spans="21:21" x14ac:dyDescent="0.25">
      <c r="U1641" s="129"/>
    </row>
    <row r="1642" spans="21:21" x14ac:dyDescent="0.25">
      <c r="U1642" s="129"/>
    </row>
    <row r="1643" spans="21:21" x14ac:dyDescent="0.25">
      <c r="U1643" s="129"/>
    </row>
    <row r="1644" spans="21:21" x14ac:dyDescent="0.25">
      <c r="U1644" s="129"/>
    </row>
    <row r="1645" spans="21:21" x14ac:dyDescent="0.25">
      <c r="U1645" s="129"/>
    </row>
    <row r="1646" spans="21:21" x14ac:dyDescent="0.25">
      <c r="U1646" s="129"/>
    </row>
    <row r="1647" spans="21:21" x14ac:dyDescent="0.25">
      <c r="U1647" s="129"/>
    </row>
    <row r="1648" spans="21:21" x14ac:dyDescent="0.25">
      <c r="U1648" s="129"/>
    </row>
    <row r="1649" spans="21:21" x14ac:dyDescent="0.25">
      <c r="U1649" s="129"/>
    </row>
    <row r="1650" spans="21:21" x14ac:dyDescent="0.25">
      <c r="U1650" s="129"/>
    </row>
    <row r="1651" spans="21:21" x14ac:dyDescent="0.25">
      <c r="U1651" s="129"/>
    </row>
    <row r="1652" spans="21:21" x14ac:dyDescent="0.25">
      <c r="U1652" s="129"/>
    </row>
    <row r="1653" spans="21:21" x14ac:dyDescent="0.25">
      <c r="U1653" s="129"/>
    </row>
    <row r="1654" spans="21:21" x14ac:dyDescent="0.25">
      <c r="U1654" s="129"/>
    </row>
    <row r="1655" spans="21:21" x14ac:dyDescent="0.25">
      <c r="U1655" s="129"/>
    </row>
    <row r="1656" spans="21:21" x14ac:dyDescent="0.25">
      <c r="U1656" s="129"/>
    </row>
    <row r="1657" spans="21:21" x14ac:dyDescent="0.25">
      <c r="U1657" s="129"/>
    </row>
    <row r="1658" spans="21:21" x14ac:dyDescent="0.25">
      <c r="U1658" s="129"/>
    </row>
    <row r="1659" spans="21:21" x14ac:dyDescent="0.25">
      <c r="U1659" s="129"/>
    </row>
    <row r="1660" spans="21:21" x14ac:dyDescent="0.25">
      <c r="U1660" s="129"/>
    </row>
    <row r="1661" spans="21:21" x14ac:dyDescent="0.25">
      <c r="U1661" s="129"/>
    </row>
    <row r="1662" spans="21:21" x14ac:dyDescent="0.25">
      <c r="U1662" s="129"/>
    </row>
    <row r="1663" spans="21:21" x14ac:dyDescent="0.25">
      <c r="U1663" s="129"/>
    </row>
    <row r="1664" spans="21:21" x14ac:dyDescent="0.25">
      <c r="U1664" s="129"/>
    </row>
    <row r="1665" spans="21:21" x14ac:dyDescent="0.25">
      <c r="U1665" s="129"/>
    </row>
    <row r="1666" spans="21:21" x14ac:dyDescent="0.25">
      <c r="U1666" s="129"/>
    </row>
    <row r="1667" spans="21:21" x14ac:dyDescent="0.25">
      <c r="U1667" s="129"/>
    </row>
    <row r="1668" spans="21:21" x14ac:dyDescent="0.25">
      <c r="U1668" s="129"/>
    </row>
    <row r="1669" spans="21:21" x14ac:dyDescent="0.25">
      <c r="U1669" s="129"/>
    </row>
    <row r="1670" spans="21:21" x14ac:dyDescent="0.25">
      <c r="U1670" s="129"/>
    </row>
    <row r="1671" spans="21:21" x14ac:dyDescent="0.25">
      <c r="U1671" s="129"/>
    </row>
    <row r="1672" spans="21:21" x14ac:dyDescent="0.25">
      <c r="U1672" s="129"/>
    </row>
    <row r="1673" spans="21:21" x14ac:dyDescent="0.25">
      <c r="U1673" s="129"/>
    </row>
    <row r="1674" spans="21:21" x14ac:dyDescent="0.25">
      <c r="U1674" s="129"/>
    </row>
    <row r="1675" spans="21:21" x14ac:dyDescent="0.25">
      <c r="U1675" s="129"/>
    </row>
    <row r="1676" spans="21:21" x14ac:dyDescent="0.25">
      <c r="U1676" s="129"/>
    </row>
    <row r="1677" spans="21:21" x14ac:dyDescent="0.25">
      <c r="U1677" s="129"/>
    </row>
    <row r="1678" spans="21:21" x14ac:dyDescent="0.25">
      <c r="U1678" s="129"/>
    </row>
    <row r="1679" spans="21:21" x14ac:dyDescent="0.25">
      <c r="U1679" s="129"/>
    </row>
    <row r="1680" spans="21:21" x14ac:dyDescent="0.25">
      <c r="U1680" s="129"/>
    </row>
    <row r="1681" spans="21:21" x14ac:dyDescent="0.25">
      <c r="U1681" s="129"/>
    </row>
    <row r="1682" spans="21:21" x14ac:dyDescent="0.25">
      <c r="U1682" s="129"/>
    </row>
    <row r="1683" spans="21:21" x14ac:dyDescent="0.25">
      <c r="U1683" s="129"/>
    </row>
    <row r="1684" spans="21:21" x14ac:dyDescent="0.25">
      <c r="U1684" s="129"/>
    </row>
    <row r="1685" spans="21:21" x14ac:dyDescent="0.25">
      <c r="U1685" s="129"/>
    </row>
    <row r="1686" spans="21:21" x14ac:dyDescent="0.25">
      <c r="U1686" s="129"/>
    </row>
    <row r="1687" spans="21:21" x14ac:dyDescent="0.25">
      <c r="U1687" s="129"/>
    </row>
    <row r="1688" spans="21:21" x14ac:dyDescent="0.25">
      <c r="U1688" s="129"/>
    </row>
    <row r="1689" spans="21:21" x14ac:dyDescent="0.25">
      <c r="U1689" s="129"/>
    </row>
    <row r="1690" spans="21:21" x14ac:dyDescent="0.25">
      <c r="U1690" s="129"/>
    </row>
    <row r="1691" spans="21:21" x14ac:dyDescent="0.25">
      <c r="U1691" s="129"/>
    </row>
    <row r="1692" spans="21:21" x14ac:dyDescent="0.25">
      <c r="U1692" s="129"/>
    </row>
    <row r="1693" spans="21:21" x14ac:dyDescent="0.25">
      <c r="U1693" s="129"/>
    </row>
    <row r="1694" spans="21:21" x14ac:dyDescent="0.25">
      <c r="U1694" s="129"/>
    </row>
    <row r="1695" spans="21:21" x14ac:dyDescent="0.25">
      <c r="U1695" s="129"/>
    </row>
    <row r="1696" spans="21:21" x14ac:dyDescent="0.25">
      <c r="U1696" s="129"/>
    </row>
    <row r="1697" spans="21:21" x14ac:dyDescent="0.25">
      <c r="U1697" s="129"/>
    </row>
    <row r="1698" spans="21:21" x14ac:dyDescent="0.25">
      <c r="U1698" s="129"/>
    </row>
    <row r="1699" spans="21:21" x14ac:dyDescent="0.25">
      <c r="U1699" s="129"/>
    </row>
    <row r="1700" spans="21:21" x14ac:dyDescent="0.25">
      <c r="U1700" s="129"/>
    </row>
    <row r="1701" spans="21:21" x14ac:dyDescent="0.25">
      <c r="U1701" s="129"/>
    </row>
    <row r="1702" spans="21:21" x14ac:dyDescent="0.25">
      <c r="U1702" s="129"/>
    </row>
    <row r="1703" spans="21:21" x14ac:dyDescent="0.25">
      <c r="U1703" s="129"/>
    </row>
    <row r="1704" spans="21:21" x14ac:dyDescent="0.25">
      <c r="U1704" s="129"/>
    </row>
    <row r="1705" spans="21:21" x14ac:dyDescent="0.25">
      <c r="U1705" s="129"/>
    </row>
    <row r="1706" spans="21:21" x14ac:dyDescent="0.25">
      <c r="U1706" s="129"/>
    </row>
    <row r="1707" spans="21:21" x14ac:dyDescent="0.25">
      <c r="U1707" s="129"/>
    </row>
    <row r="1708" spans="21:21" x14ac:dyDescent="0.25">
      <c r="U1708" s="129"/>
    </row>
    <row r="1709" spans="21:21" x14ac:dyDescent="0.25">
      <c r="U1709" s="129"/>
    </row>
    <row r="1710" spans="21:21" x14ac:dyDescent="0.25">
      <c r="U1710" s="129"/>
    </row>
    <row r="1711" spans="21:21" x14ac:dyDescent="0.25">
      <c r="U1711" s="129"/>
    </row>
    <row r="1712" spans="21:21" x14ac:dyDescent="0.25">
      <c r="U1712" s="129"/>
    </row>
    <row r="1713" spans="21:21" x14ac:dyDescent="0.25">
      <c r="U1713" s="129"/>
    </row>
    <row r="1714" spans="21:21" x14ac:dyDescent="0.25">
      <c r="U1714" s="129"/>
    </row>
    <row r="1715" spans="21:21" x14ac:dyDescent="0.25">
      <c r="U1715" s="129"/>
    </row>
    <row r="1716" spans="21:21" x14ac:dyDescent="0.25">
      <c r="U1716" s="129"/>
    </row>
    <row r="1717" spans="21:21" x14ac:dyDescent="0.25">
      <c r="U1717" s="129"/>
    </row>
    <row r="1718" spans="21:21" x14ac:dyDescent="0.25">
      <c r="U1718" s="129"/>
    </row>
    <row r="1719" spans="21:21" x14ac:dyDescent="0.25">
      <c r="U1719" s="129"/>
    </row>
    <row r="1720" spans="21:21" x14ac:dyDescent="0.25">
      <c r="U1720" s="129"/>
    </row>
    <row r="1721" spans="21:21" x14ac:dyDescent="0.25">
      <c r="U1721" s="129"/>
    </row>
    <row r="1722" spans="21:21" x14ac:dyDescent="0.25">
      <c r="U1722" s="129"/>
    </row>
    <row r="1723" spans="21:21" x14ac:dyDescent="0.25">
      <c r="U1723" s="129"/>
    </row>
    <row r="1724" spans="21:21" x14ac:dyDescent="0.25">
      <c r="U1724" s="129"/>
    </row>
    <row r="1725" spans="21:21" x14ac:dyDescent="0.25">
      <c r="U1725" s="129"/>
    </row>
    <row r="1726" spans="21:21" x14ac:dyDescent="0.25">
      <c r="U1726" s="129"/>
    </row>
    <row r="1727" spans="21:21" x14ac:dyDescent="0.25">
      <c r="U1727" s="129"/>
    </row>
    <row r="1728" spans="21:21" x14ac:dyDescent="0.25">
      <c r="U1728" s="129"/>
    </row>
    <row r="1729" spans="21:21" x14ac:dyDescent="0.25">
      <c r="U1729" s="129"/>
    </row>
    <row r="1730" spans="21:21" x14ac:dyDescent="0.25">
      <c r="U1730" s="129"/>
    </row>
    <row r="1731" spans="21:21" x14ac:dyDescent="0.25">
      <c r="U1731" s="129"/>
    </row>
    <row r="1732" spans="21:21" x14ac:dyDescent="0.25">
      <c r="U1732" s="129"/>
    </row>
    <row r="1733" spans="21:21" x14ac:dyDescent="0.25">
      <c r="U1733" s="129"/>
    </row>
    <row r="1734" spans="21:21" x14ac:dyDescent="0.25">
      <c r="U1734" s="129"/>
    </row>
    <row r="1735" spans="21:21" x14ac:dyDescent="0.25">
      <c r="U1735" s="129"/>
    </row>
    <row r="1736" spans="21:21" x14ac:dyDescent="0.25">
      <c r="U1736" s="129"/>
    </row>
    <row r="1737" spans="21:21" x14ac:dyDescent="0.25">
      <c r="U1737" s="129"/>
    </row>
    <row r="1738" spans="21:21" x14ac:dyDescent="0.25">
      <c r="U1738" s="129"/>
    </row>
    <row r="1739" spans="21:21" x14ac:dyDescent="0.25">
      <c r="U1739" s="129"/>
    </row>
    <row r="1740" spans="21:21" x14ac:dyDescent="0.25">
      <c r="U1740" s="129"/>
    </row>
    <row r="1741" spans="21:21" x14ac:dyDescent="0.25">
      <c r="U1741" s="129"/>
    </row>
    <row r="1742" spans="21:21" x14ac:dyDescent="0.25">
      <c r="U1742" s="129"/>
    </row>
    <row r="1743" spans="21:21" x14ac:dyDescent="0.25">
      <c r="U1743" s="129"/>
    </row>
    <row r="1744" spans="21:21" x14ac:dyDescent="0.25">
      <c r="U1744" s="129"/>
    </row>
    <row r="1745" spans="21:21" x14ac:dyDescent="0.25">
      <c r="U1745" s="129"/>
    </row>
    <row r="1746" spans="21:21" x14ac:dyDescent="0.25">
      <c r="U1746" s="129"/>
    </row>
    <row r="1747" spans="21:21" x14ac:dyDescent="0.25">
      <c r="U1747" s="129"/>
    </row>
    <row r="1748" spans="21:21" x14ac:dyDescent="0.25">
      <c r="U1748" s="129"/>
    </row>
    <row r="1749" spans="21:21" x14ac:dyDescent="0.25">
      <c r="U1749" s="129"/>
    </row>
    <row r="1750" spans="21:21" x14ac:dyDescent="0.25">
      <c r="U1750" s="129"/>
    </row>
    <row r="1751" spans="21:21" x14ac:dyDescent="0.25">
      <c r="U1751" s="129"/>
    </row>
    <row r="1752" spans="21:21" x14ac:dyDescent="0.25">
      <c r="U1752" s="129"/>
    </row>
    <row r="1753" spans="21:21" x14ac:dyDescent="0.25">
      <c r="U1753" s="129"/>
    </row>
    <row r="1754" spans="21:21" x14ac:dyDescent="0.25">
      <c r="U1754" s="129"/>
    </row>
    <row r="1755" spans="21:21" x14ac:dyDescent="0.25">
      <c r="U1755" s="129"/>
    </row>
    <row r="1756" spans="21:21" x14ac:dyDescent="0.25">
      <c r="U1756" s="129"/>
    </row>
    <row r="1757" spans="21:21" x14ac:dyDescent="0.25">
      <c r="U1757" s="129"/>
    </row>
    <row r="1758" spans="21:21" x14ac:dyDescent="0.25">
      <c r="U1758" s="129"/>
    </row>
    <row r="1759" spans="21:21" x14ac:dyDescent="0.25">
      <c r="U1759" s="129"/>
    </row>
    <row r="1760" spans="21:21" x14ac:dyDescent="0.25">
      <c r="U1760" s="129"/>
    </row>
    <row r="1761" spans="21:21" x14ac:dyDescent="0.25">
      <c r="U1761" s="129"/>
    </row>
    <row r="1762" spans="21:21" x14ac:dyDescent="0.25">
      <c r="U1762" s="129"/>
    </row>
    <row r="1763" spans="21:21" x14ac:dyDescent="0.25">
      <c r="U1763" s="129"/>
    </row>
    <row r="1764" spans="21:21" x14ac:dyDescent="0.25">
      <c r="U1764" s="129"/>
    </row>
    <row r="1765" spans="21:21" x14ac:dyDescent="0.25">
      <c r="U1765" s="129"/>
    </row>
    <row r="1766" spans="21:21" x14ac:dyDescent="0.25">
      <c r="U1766" s="129"/>
    </row>
    <row r="1767" spans="21:21" x14ac:dyDescent="0.25">
      <c r="U1767" s="129"/>
    </row>
    <row r="1768" spans="21:21" x14ac:dyDescent="0.25">
      <c r="U1768" s="129"/>
    </row>
    <row r="1769" spans="21:21" x14ac:dyDescent="0.25">
      <c r="U1769" s="129"/>
    </row>
    <row r="1770" spans="21:21" x14ac:dyDescent="0.25">
      <c r="U1770" s="129"/>
    </row>
    <row r="1771" spans="21:21" x14ac:dyDescent="0.25">
      <c r="U1771" s="129"/>
    </row>
    <row r="1772" spans="21:21" x14ac:dyDescent="0.25">
      <c r="U1772" s="129"/>
    </row>
    <row r="1773" spans="21:21" x14ac:dyDescent="0.25">
      <c r="U1773" s="129"/>
    </row>
    <row r="1774" spans="21:21" x14ac:dyDescent="0.25">
      <c r="U1774" s="129"/>
    </row>
    <row r="1775" spans="21:21" x14ac:dyDescent="0.25">
      <c r="U1775" s="129"/>
    </row>
    <row r="1776" spans="21:21" x14ac:dyDescent="0.25">
      <c r="U1776" s="129"/>
    </row>
    <row r="1777" spans="21:21" x14ac:dyDescent="0.25">
      <c r="U1777" s="129"/>
    </row>
    <row r="1778" spans="21:21" x14ac:dyDescent="0.25">
      <c r="U1778" s="129"/>
    </row>
    <row r="1779" spans="21:21" x14ac:dyDescent="0.25">
      <c r="U1779" s="129"/>
    </row>
    <row r="1780" spans="21:21" x14ac:dyDescent="0.25">
      <c r="U1780" s="129"/>
    </row>
    <row r="1781" spans="21:21" x14ac:dyDescent="0.25">
      <c r="U1781" s="129"/>
    </row>
    <row r="1782" spans="21:21" x14ac:dyDescent="0.25">
      <c r="U1782" s="129"/>
    </row>
    <row r="1783" spans="21:21" x14ac:dyDescent="0.25">
      <c r="U1783" s="129"/>
    </row>
    <row r="1784" spans="21:21" x14ac:dyDescent="0.25">
      <c r="U1784" s="129"/>
    </row>
    <row r="1785" spans="21:21" x14ac:dyDescent="0.25">
      <c r="U1785" s="129"/>
    </row>
    <row r="1786" spans="21:21" x14ac:dyDescent="0.25">
      <c r="U1786" s="129"/>
    </row>
    <row r="1787" spans="21:21" x14ac:dyDescent="0.25">
      <c r="U1787" s="129"/>
    </row>
    <row r="1788" spans="21:21" x14ac:dyDescent="0.25">
      <c r="U1788" s="129"/>
    </row>
    <row r="1789" spans="21:21" x14ac:dyDescent="0.25">
      <c r="U1789" s="129"/>
    </row>
    <row r="1790" spans="21:21" x14ac:dyDescent="0.25">
      <c r="U1790" s="129"/>
    </row>
    <row r="1791" spans="21:21" x14ac:dyDescent="0.25">
      <c r="U1791" s="129"/>
    </row>
    <row r="1792" spans="21:21" x14ac:dyDescent="0.25">
      <c r="U1792" s="129"/>
    </row>
    <row r="1793" spans="21:21" x14ac:dyDescent="0.25">
      <c r="U1793" s="129"/>
    </row>
    <row r="1794" spans="21:21" x14ac:dyDescent="0.25">
      <c r="U1794" s="129"/>
    </row>
    <row r="1795" spans="21:21" x14ac:dyDescent="0.25">
      <c r="U1795" s="129"/>
    </row>
    <row r="1796" spans="21:21" x14ac:dyDescent="0.25">
      <c r="U1796" s="129"/>
    </row>
    <row r="1797" spans="21:21" x14ac:dyDescent="0.25">
      <c r="U1797" s="129"/>
    </row>
    <row r="1798" spans="21:21" x14ac:dyDescent="0.25">
      <c r="U1798" s="129"/>
    </row>
    <row r="1799" spans="21:21" x14ac:dyDescent="0.25">
      <c r="U1799" s="129"/>
    </row>
    <row r="1800" spans="21:21" x14ac:dyDescent="0.25">
      <c r="U1800" s="129"/>
    </row>
    <row r="1801" spans="21:21" x14ac:dyDescent="0.25">
      <c r="U1801" s="129"/>
    </row>
    <row r="1802" spans="21:21" x14ac:dyDescent="0.25">
      <c r="U1802" s="129"/>
    </row>
    <row r="1803" spans="21:21" x14ac:dyDescent="0.25">
      <c r="U1803" s="129"/>
    </row>
    <row r="1804" spans="21:21" x14ac:dyDescent="0.25">
      <c r="U1804" s="129"/>
    </row>
    <row r="1805" spans="21:21" x14ac:dyDescent="0.25">
      <c r="U1805" s="129"/>
    </row>
    <row r="1806" spans="21:21" x14ac:dyDescent="0.25">
      <c r="U1806" s="129"/>
    </row>
    <row r="1807" spans="21:21" x14ac:dyDescent="0.25">
      <c r="U1807" s="129"/>
    </row>
    <row r="1808" spans="21:21" x14ac:dyDescent="0.25">
      <c r="U1808" s="129"/>
    </row>
    <row r="1809" spans="21:21" x14ac:dyDescent="0.25">
      <c r="U1809" s="129"/>
    </row>
    <row r="1810" spans="21:21" x14ac:dyDescent="0.25">
      <c r="U1810" s="129"/>
    </row>
    <row r="1811" spans="21:21" x14ac:dyDescent="0.25">
      <c r="U1811" s="129"/>
    </row>
    <row r="1812" spans="21:21" x14ac:dyDescent="0.25">
      <c r="U1812" s="129"/>
    </row>
    <row r="1813" spans="21:21" x14ac:dyDescent="0.25">
      <c r="U1813" s="129"/>
    </row>
    <row r="1814" spans="21:21" x14ac:dyDescent="0.25">
      <c r="U1814" s="129"/>
    </row>
    <row r="1815" spans="21:21" x14ac:dyDescent="0.25">
      <c r="U1815" s="129"/>
    </row>
    <row r="1816" spans="21:21" x14ac:dyDescent="0.25">
      <c r="U1816" s="129"/>
    </row>
    <row r="1817" spans="21:21" x14ac:dyDescent="0.25">
      <c r="U1817" s="129"/>
    </row>
    <row r="1818" spans="21:21" x14ac:dyDescent="0.25">
      <c r="U1818" s="129"/>
    </row>
    <row r="1819" spans="21:21" x14ac:dyDescent="0.25">
      <c r="U1819" s="129"/>
    </row>
    <row r="1820" spans="21:21" x14ac:dyDescent="0.25">
      <c r="U1820" s="129"/>
    </row>
    <row r="1821" spans="21:21" x14ac:dyDescent="0.25">
      <c r="U1821" s="129"/>
    </row>
    <row r="1822" spans="21:21" x14ac:dyDescent="0.25">
      <c r="U1822" s="129"/>
    </row>
    <row r="1823" spans="21:21" x14ac:dyDescent="0.25">
      <c r="U1823" s="129"/>
    </row>
    <row r="1824" spans="21:21" x14ac:dyDescent="0.25">
      <c r="U1824" s="129"/>
    </row>
    <row r="1825" spans="21:21" x14ac:dyDescent="0.25">
      <c r="U1825" s="129"/>
    </row>
    <row r="1826" spans="21:21" x14ac:dyDescent="0.25">
      <c r="U1826" s="129"/>
    </row>
    <row r="1827" spans="21:21" x14ac:dyDescent="0.25">
      <c r="U1827" s="129"/>
    </row>
    <row r="1828" spans="21:21" x14ac:dyDescent="0.25">
      <c r="U1828" s="129"/>
    </row>
    <row r="1829" spans="21:21" x14ac:dyDescent="0.25">
      <c r="U1829" s="129"/>
    </row>
    <row r="1830" spans="21:21" x14ac:dyDescent="0.25">
      <c r="U1830" s="129"/>
    </row>
    <row r="1831" spans="21:21" x14ac:dyDescent="0.25">
      <c r="U1831" s="129"/>
    </row>
    <row r="1832" spans="21:21" x14ac:dyDescent="0.25">
      <c r="U1832" s="129"/>
    </row>
    <row r="1833" spans="21:21" x14ac:dyDescent="0.25">
      <c r="U1833" s="129"/>
    </row>
    <row r="1834" spans="21:21" x14ac:dyDescent="0.25">
      <c r="U1834" s="129"/>
    </row>
    <row r="1835" spans="21:21" x14ac:dyDescent="0.25">
      <c r="U1835" s="129"/>
    </row>
    <row r="1836" spans="21:21" x14ac:dyDescent="0.25">
      <c r="U1836" s="129"/>
    </row>
    <row r="1837" spans="21:21" x14ac:dyDescent="0.25">
      <c r="U1837" s="129"/>
    </row>
    <row r="1838" spans="21:21" x14ac:dyDescent="0.25">
      <c r="U1838" s="129"/>
    </row>
    <row r="1839" spans="21:21" x14ac:dyDescent="0.25">
      <c r="U1839" s="129"/>
    </row>
    <row r="1840" spans="21:21" x14ac:dyDescent="0.25">
      <c r="U1840" s="129"/>
    </row>
    <row r="1841" spans="21:21" x14ac:dyDescent="0.25">
      <c r="U1841" s="129"/>
    </row>
    <row r="1842" spans="21:21" x14ac:dyDescent="0.25">
      <c r="U1842" s="129"/>
    </row>
    <row r="1843" spans="21:21" x14ac:dyDescent="0.25">
      <c r="U1843" s="129"/>
    </row>
    <row r="1844" spans="21:21" x14ac:dyDescent="0.25">
      <c r="U1844" s="129"/>
    </row>
    <row r="1845" spans="21:21" x14ac:dyDescent="0.25">
      <c r="U1845" s="129"/>
    </row>
    <row r="1846" spans="21:21" x14ac:dyDescent="0.25">
      <c r="U1846" s="129"/>
    </row>
    <row r="1847" spans="21:21" x14ac:dyDescent="0.25">
      <c r="U1847" s="129"/>
    </row>
    <row r="1848" spans="21:21" x14ac:dyDescent="0.25">
      <c r="U1848" s="129"/>
    </row>
    <row r="1849" spans="21:21" x14ac:dyDescent="0.25">
      <c r="U1849" s="129"/>
    </row>
    <row r="1850" spans="21:21" x14ac:dyDescent="0.25">
      <c r="U1850" s="129"/>
    </row>
    <row r="1851" spans="21:21" x14ac:dyDescent="0.25">
      <c r="U1851" s="129"/>
    </row>
    <row r="1852" spans="21:21" x14ac:dyDescent="0.25">
      <c r="U1852" s="129"/>
    </row>
    <row r="1853" spans="21:21" x14ac:dyDescent="0.25">
      <c r="U1853" s="129"/>
    </row>
    <row r="1854" spans="21:21" x14ac:dyDescent="0.25">
      <c r="U1854" s="129"/>
    </row>
    <row r="1855" spans="21:21" x14ac:dyDescent="0.25">
      <c r="U1855" s="129"/>
    </row>
    <row r="1856" spans="21:21" x14ac:dyDescent="0.25">
      <c r="U1856" s="129"/>
    </row>
    <row r="1857" spans="21:21" x14ac:dyDescent="0.25">
      <c r="U1857" s="129"/>
    </row>
    <row r="1858" spans="21:21" x14ac:dyDescent="0.25">
      <c r="U1858" s="129"/>
    </row>
    <row r="1859" spans="21:21" x14ac:dyDescent="0.25">
      <c r="U1859" s="129"/>
    </row>
    <row r="1860" spans="21:21" x14ac:dyDescent="0.25">
      <c r="U1860" s="129"/>
    </row>
    <row r="1861" spans="21:21" x14ac:dyDescent="0.25">
      <c r="U1861" s="129"/>
    </row>
    <row r="1862" spans="21:21" x14ac:dyDescent="0.25">
      <c r="U1862" s="129"/>
    </row>
    <row r="1863" spans="21:21" x14ac:dyDescent="0.25">
      <c r="U1863" s="129"/>
    </row>
    <row r="1864" spans="21:21" x14ac:dyDescent="0.25">
      <c r="U1864" s="129"/>
    </row>
    <row r="1865" spans="21:21" x14ac:dyDescent="0.25">
      <c r="U1865" s="129"/>
    </row>
    <row r="1866" spans="21:21" x14ac:dyDescent="0.25">
      <c r="U1866" s="129"/>
    </row>
    <row r="1867" spans="21:21" x14ac:dyDescent="0.25">
      <c r="U1867" s="129"/>
    </row>
    <row r="1868" spans="21:21" x14ac:dyDescent="0.25">
      <c r="U1868" s="129"/>
    </row>
    <row r="1869" spans="21:21" x14ac:dyDescent="0.25">
      <c r="U1869" s="129"/>
    </row>
    <row r="1870" spans="21:21" x14ac:dyDescent="0.25">
      <c r="U1870" s="129"/>
    </row>
    <row r="1871" spans="21:21" x14ac:dyDescent="0.25">
      <c r="U1871" s="129"/>
    </row>
    <row r="1872" spans="21:21" x14ac:dyDescent="0.25">
      <c r="U1872" s="129"/>
    </row>
    <row r="1873" spans="21:21" x14ac:dyDescent="0.25">
      <c r="U1873" s="129"/>
    </row>
    <row r="1874" spans="21:21" x14ac:dyDescent="0.25">
      <c r="U1874" s="129"/>
    </row>
    <row r="1875" spans="21:21" x14ac:dyDescent="0.25">
      <c r="U1875" s="129"/>
    </row>
    <row r="1876" spans="21:21" x14ac:dyDescent="0.25">
      <c r="U1876" s="129"/>
    </row>
    <row r="1877" spans="21:21" x14ac:dyDescent="0.25">
      <c r="U1877" s="129"/>
    </row>
    <row r="1878" spans="21:21" x14ac:dyDescent="0.25">
      <c r="U1878" s="129"/>
    </row>
    <row r="1879" spans="21:21" x14ac:dyDescent="0.25">
      <c r="U1879" s="129"/>
    </row>
    <row r="1880" spans="21:21" x14ac:dyDescent="0.25">
      <c r="U1880" s="129"/>
    </row>
    <row r="1881" spans="21:21" x14ac:dyDescent="0.25">
      <c r="U1881" s="129"/>
    </row>
    <row r="1882" spans="21:21" x14ac:dyDescent="0.25">
      <c r="U1882" s="129"/>
    </row>
    <row r="1883" spans="21:21" x14ac:dyDescent="0.25">
      <c r="U1883" s="129"/>
    </row>
    <row r="1884" spans="21:21" x14ac:dyDescent="0.25">
      <c r="U1884" s="129"/>
    </row>
    <row r="1885" spans="21:21" x14ac:dyDescent="0.25">
      <c r="U1885" s="129"/>
    </row>
    <row r="1886" spans="21:21" x14ac:dyDescent="0.25">
      <c r="U1886" s="129"/>
    </row>
    <row r="1887" spans="21:21" x14ac:dyDescent="0.25">
      <c r="U1887" s="129"/>
    </row>
    <row r="1888" spans="21:21" x14ac:dyDescent="0.25">
      <c r="U1888" s="129"/>
    </row>
    <row r="1889" spans="21:21" x14ac:dyDescent="0.25">
      <c r="U1889" s="129"/>
    </row>
    <row r="1890" spans="21:21" x14ac:dyDescent="0.25">
      <c r="U1890" s="129"/>
    </row>
    <row r="1891" spans="21:21" x14ac:dyDescent="0.25">
      <c r="U1891" s="129"/>
    </row>
    <row r="1892" spans="21:21" x14ac:dyDescent="0.25">
      <c r="U1892" s="129"/>
    </row>
    <row r="1893" spans="21:21" x14ac:dyDescent="0.25">
      <c r="U1893" s="129"/>
    </row>
    <row r="1894" spans="21:21" x14ac:dyDescent="0.25">
      <c r="U1894" s="129"/>
    </row>
    <row r="1895" spans="21:21" x14ac:dyDescent="0.25">
      <c r="U1895" s="129"/>
    </row>
    <row r="1896" spans="21:21" x14ac:dyDescent="0.25">
      <c r="U1896" s="129"/>
    </row>
    <row r="1897" spans="21:21" x14ac:dyDescent="0.25">
      <c r="U1897" s="129"/>
    </row>
    <row r="1898" spans="21:21" x14ac:dyDescent="0.25">
      <c r="U1898" s="129"/>
    </row>
    <row r="1899" spans="21:21" x14ac:dyDescent="0.25">
      <c r="U1899" s="129"/>
    </row>
    <row r="1900" spans="21:21" x14ac:dyDescent="0.25">
      <c r="U1900" s="129"/>
    </row>
    <row r="1901" spans="21:21" x14ac:dyDescent="0.25">
      <c r="U1901" s="129"/>
    </row>
    <row r="1902" spans="21:21" x14ac:dyDescent="0.25">
      <c r="U1902" s="129"/>
    </row>
    <row r="1903" spans="21:21" x14ac:dyDescent="0.25">
      <c r="U1903" s="129"/>
    </row>
    <row r="1904" spans="21:21" x14ac:dyDescent="0.25">
      <c r="U1904" s="129"/>
    </row>
    <row r="1905" spans="21:21" x14ac:dyDescent="0.25">
      <c r="U1905" s="129"/>
    </row>
    <row r="1906" spans="21:21" x14ac:dyDescent="0.25">
      <c r="U1906" s="129"/>
    </row>
    <row r="1907" spans="21:21" x14ac:dyDescent="0.25">
      <c r="U1907" s="129"/>
    </row>
    <row r="1908" spans="21:21" x14ac:dyDescent="0.25">
      <c r="U1908" s="129"/>
    </row>
    <row r="1909" spans="21:21" x14ac:dyDescent="0.25">
      <c r="U1909" s="129"/>
    </row>
    <row r="1910" spans="21:21" x14ac:dyDescent="0.25">
      <c r="U1910" s="129"/>
    </row>
    <row r="1911" spans="21:21" x14ac:dyDescent="0.25">
      <c r="U1911" s="129"/>
    </row>
    <row r="1912" spans="21:21" x14ac:dyDescent="0.25">
      <c r="U1912" s="129"/>
    </row>
    <row r="1913" spans="21:21" x14ac:dyDescent="0.25">
      <c r="U1913" s="129"/>
    </row>
    <row r="1914" spans="21:21" x14ac:dyDescent="0.25">
      <c r="U1914" s="129"/>
    </row>
    <row r="1915" spans="21:21" x14ac:dyDescent="0.25">
      <c r="U1915" s="129"/>
    </row>
    <row r="1916" spans="21:21" x14ac:dyDescent="0.25">
      <c r="U1916" s="129"/>
    </row>
    <row r="1917" spans="21:21" x14ac:dyDescent="0.25">
      <c r="U1917" s="129"/>
    </row>
    <row r="1918" spans="21:21" x14ac:dyDescent="0.25">
      <c r="U1918" s="129"/>
    </row>
    <row r="1919" spans="21:21" x14ac:dyDescent="0.25">
      <c r="U1919" s="129"/>
    </row>
    <row r="1920" spans="21:21" x14ac:dyDescent="0.25">
      <c r="U1920" s="129"/>
    </row>
    <row r="1921" spans="21:21" x14ac:dyDescent="0.25">
      <c r="U1921" s="129"/>
    </row>
    <row r="1922" spans="21:21" x14ac:dyDescent="0.25">
      <c r="U1922" s="129"/>
    </row>
    <row r="1923" spans="21:21" x14ac:dyDescent="0.25">
      <c r="U1923" s="129"/>
    </row>
    <row r="1924" spans="21:21" x14ac:dyDescent="0.25">
      <c r="U1924" s="129"/>
    </row>
    <row r="1925" spans="21:21" x14ac:dyDescent="0.25">
      <c r="U1925" s="129"/>
    </row>
    <row r="1926" spans="21:21" x14ac:dyDescent="0.25">
      <c r="U1926" s="129"/>
    </row>
    <row r="1927" spans="21:21" x14ac:dyDescent="0.25">
      <c r="U1927" s="129"/>
    </row>
    <row r="1928" spans="21:21" x14ac:dyDescent="0.25">
      <c r="U1928" s="129"/>
    </row>
    <row r="1929" spans="21:21" x14ac:dyDescent="0.25">
      <c r="U1929" s="129"/>
    </row>
    <row r="1930" spans="21:21" x14ac:dyDescent="0.25">
      <c r="U1930" s="129"/>
    </row>
    <row r="1931" spans="21:21" x14ac:dyDescent="0.25">
      <c r="U1931" s="129"/>
    </row>
    <row r="1932" spans="21:21" x14ac:dyDescent="0.25">
      <c r="U1932" s="129"/>
    </row>
    <row r="1933" spans="21:21" x14ac:dyDescent="0.25">
      <c r="U1933" s="129"/>
    </row>
    <row r="1934" spans="21:21" x14ac:dyDescent="0.25">
      <c r="U1934" s="129"/>
    </row>
    <row r="1935" spans="21:21" x14ac:dyDescent="0.25">
      <c r="U1935" s="129"/>
    </row>
    <row r="1936" spans="21:21" x14ac:dyDescent="0.25">
      <c r="U1936" s="129"/>
    </row>
    <row r="1937" spans="21:21" x14ac:dyDescent="0.25">
      <c r="U1937" s="129"/>
    </row>
    <row r="1938" spans="21:21" x14ac:dyDescent="0.25">
      <c r="U1938" s="129"/>
    </row>
    <row r="1939" spans="21:21" x14ac:dyDescent="0.25">
      <c r="U1939" s="129"/>
    </row>
    <row r="1940" spans="21:21" x14ac:dyDescent="0.25">
      <c r="U1940" s="129"/>
    </row>
    <row r="1941" spans="21:21" x14ac:dyDescent="0.25">
      <c r="U1941" s="129"/>
    </row>
    <row r="1942" spans="21:21" x14ac:dyDescent="0.25">
      <c r="U1942" s="129"/>
    </row>
    <row r="1943" spans="21:21" x14ac:dyDescent="0.25">
      <c r="U1943" s="129"/>
    </row>
    <row r="1944" spans="21:21" x14ac:dyDescent="0.25">
      <c r="U1944" s="129"/>
    </row>
    <row r="1945" spans="21:21" x14ac:dyDescent="0.25">
      <c r="U1945" s="129"/>
    </row>
    <row r="1946" spans="21:21" x14ac:dyDescent="0.25">
      <c r="U1946" s="129"/>
    </row>
    <row r="1947" spans="21:21" x14ac:dyDescent="0.25">
      <c r="U1947" s="129"/>
    </row>
    <row r="1948" spans="21:21" x14ac:dyDescent="0.25">
      <c r="U1948" s="129"/>
    </row>
    <row r="1949" spans="21:21" x14ac:dyDescent="0.25">
      <c r="U1949" s="129"/>
    </row>
    <row r="1950" spans="21:21" x14ac:dyDescent="0.25">
      <c r="U1950" s="129"/>
    </row>
    <row r="1951" spans="21:21" x14ac:dyDescent="0.25">
      <c r="U1951" s="129"/>
    </row>
    <row r="1952" spans="21:21" x14ac:dyDescent="0.25">
      <c r="U1952" s="129"/>
    </row>
    <row r="1953" spans="21:21" x14ac:dyDescent="0.25">
      <c r="U1953" s="129"/>
    </row>
    <row r="1954" spans="21:21" x14ac:dyDescent="0.25">
      <c r="U1954" s="129"/>
    </row>
    <row r="1955" spans="21:21" x14ac:dyDescent="0.25">
      <c r="U1955" s="129"/>
    </row>
    <row r="1956" spans="21:21" x14ac:dyDescent="0.25">
      <c r="U1956" s="129"/>
    </row>
    <row r="1957" spans="21:21" x14ac:dyDescent="0.25">
      <c r="U1957" s="129"/>
    </row>
    <row r="1958" spans="21:21" x14ac:dyDescent="0.25">
      <c r="U1958" s="129"/>
    </row>
    <row r="1959" spans="21:21" x14ac:dyDescent="0.25">
      <c r="U1959" s="129"/>
    </row>
    <row r="1960" spans="21:21" x14ac:dyDescent="0.25">
      <c r="U1960" s="129"/>
    </row>
    <row r="1961" spans="21:21" x14ac:dyDescent="0.25">
      <c r="U1961" s="129"/>
    </row>
    <row r="1962" spans="21:21" x14ac:dyDescent="0.25">
      <c r="U1962" s="129"/>
    </row>
    <row r="1963" spans="21:21" x14ac:dyDescent="0.25">
      <c r="U1963" s="129"/>
    </row>
    <row r="1964" spans="21:21" x14ac:dyDescent="0.25">
      <c r="U1964" s="129"/>
    </row>
    <row r="1965" spans="21:21" x14ac:dyDescent="0.25">
      <c r="U1965" s="129"/>
    </row>
    <row r="1966" spans="21:21" x14ac:dyDescent="0.25">
      <c r="U1966" s="129"/>
    </row>
    <row r="1967" spans="21:21" x14ac:dyDescent="0.25">
      <c r="U1967" s="129"/>
    </row>
    <row r="1968" spans="21:21" x14ac:dyDescent="0.25">
      <c r="U1968" s="129"/>
    </row>
    <row r="1969" spans="21:21" x14ac:dyDescent="0.25">
      <c r="U1969" s="129"/>
    </row>
    <row r="1970" spans="21:21" x14ac:dyDescent="0.25">
      <c r="U1970" s="129"/>
    </row>
    <row r="1971" spans="21:21" x14ac:dyDescent="0.25">
      <c r="U1971" s="129"/>
    </row>
    <row r="1972" spans="21:21" x14ac:dyDescent="0.25">
      <c r="U1972" s="129"/>
    </row>
    <row r="1973" spans="21:21" x14ac:dyDescent="0.25">
      <c r="U1973" s="129"/>
    </row>
    <row r="1974" spans="21:21" x14ac:dyDescent="0.25">
      <c r="U1974" s="129"/>
    </row>
    <row r="1975" spans="21:21" x14ac:dyDescent="0.25">
      <c r="U1975" s="129"/>
    </row>
    <row r="1976" spans="21:21" x14ac:dyDescent="0.25">
      <c r="U1976" s="129"/>
    </row>
    <row r="1977" spans="21:21" x14ac:dyDescent="0.25">
      <c r="U1977" s="129"/>
    </row>
    <row r="1978" spans="21:21" x14ac:dyDescent="0.25">
      <c r="U1978" s="129"/>
    </row>
    <row r="1979" spans="21:21" x14ac:dyDescent="0.25">
      <c r="U1979" s="129"/>
    </row>
    <row r="1980" spans="21:21" x14ac:dyDescent="0.25">
      <c r="U1980" s="129"/>
    </row>
    <row r="1981" spans="21:21" x14ac:dyDescent="0.25">
      <c r="U1981" s="129"/>
    </row>
    <row r="1982" spans="21:21" x14ac:dyDescent="0.25">
      <c r="U1982" s="129"/>
    </row>
    <row r="1983" spans="21:21" x14ac:dyDescent="0.25">
      <c r="U1983" s="129"/>
    </row>
    <row r="1984" spans="21:21" x14ac:dyDescent="0.25">
      <c r="U1984" s="129"/>
    </row>
    <row r="1985" spans="21:21" x14ac:dyDescent="0.25">
      <c r="U1985" s="129"/>
    </row>
    <row r="1986" spans="21:21" x14ac:dyDescent="0.25">
      <c r="U1986" s="129"/>
    </row>
    <row r="1987" spans="21:21" x14ac:dyDescent="0.25">
      <c r="U1987" s="129"/>
    </row>
    <row r="1988" spans="21:21" x14ac:dyDescent="0.25">
      <c r="U1988" s="129"/>
    </row>
    <row r="1989" spans="21:21" x14ac:dyDescent="0.25">
      <c r="U1989" s="129"/>
    </row>
    <row r="1990" spans="21:21" x14ac:dyDescent="0.25">
      <c r="U1990" s="129"/>
    </row>
    <row r="1991" spans="21:21" x14ac:dyDescent="0.25">
      <c r="U1991" s="129"/>
    </row>
    <row r="1992" spans="21:21" x14ac:dyDescent="0.25">
      <c r="U1992" s="129"/>
    </row>
    <row r="1993" spans="21:21" x14ac:dyDescent="0.25">
      <c r="U1993" s="129"/>
    </row>
    <row r="1994" spans="21:21" x14ac:dyDescent="0.25">
      <c r="U1994" s="129"/>
    </row>
    <row r="1995" spans="21:21" x14ac:dyDescent="0.25">
      <c r="U1995" s="129"/>
    </row>
    <row r="1996" spans="21:21" x14ac:dyDescent="0.25">
      <c r="U1996" s="129"/>
    </row>
    <row r="1997" spans="21:21" x14ac:dyDescent="0.25">
      <c r="U1997" s="129"/>
    </row>
    <row r="1998" spans="21:21" x14ac:dyDescent="0.25">
      <c r="U1998" s="129"/>
    </row>
    <row r="1999" spans="21:21" x14ac:dyDescent="0.25">
      <c r="U1999" s="129"/>
    </row>
    <row r="2000" spans="21:21" x14ac:dyDescent="0.25">
      <c r="U2000" s="129"/>
    </row>
    <row r="2001" spans="21:21" x14ac:dyDescent="0.25">
      <c r="U2001" s="129"/>
    </row>
    <row r="2002" spans="21:21" x14ac:dyDescent="0.25">
      <c r="U2002" s="129"/>
    </row>
    <row r="2003" spans="21:21" x14ac:dyDescent="0.25">
      <c r="U2003" s="129"/>
    </row>
    <row r="2004" spans="21:21" x14ac:dyDescent="0.25">
      <c r="U2004" s="129"/>
    </row>
    <row r="2005" spans="21:21" x14ac:dyDescent="0.25">
      <c r="U2005" s="129"/>
    </row>
    <row r="2006" spans="21:21" x14ac:dyDescent="0.25">
      <c r="U2006" s="129"/>
    </row>
    <row r="2007" spans="21:21" x14ac:dyDescent="0.25">
      <c r="U2007" s="129"/>
    </row>
    <row r="2008" spans="21:21" x14ac:dyDescent="0.25">
      <c r="U2008" s="129"/>
    </row>
    <row r="2009" spans="21:21" x14ac:dyDescent="0.25">
      <c r="U2009" s="129"/>
    </row>
    <row r="2010" spans="21:21" x14ac:dyDescent="0.25">
      <c r="U2010" s="129"/>
    </row>
    <row r="2011" spans="21:21" x14ac:dyDescent="0.25">
      <c r="U2011" s="129"/>
    </row>
    <row r="2012" spans="21:21" x14ac:dyDescent="0.25">
      <c r="U2012" s="129"/>
    </row>
    <row r="2013" spans="21:21" x14ac:dyDescent="0.25">
      <c r="U2013" s="129"/>
    </row>
    <row r="2014" spans="21:21" x14ac:dyDescent="0.25">
      <c r="U2014" s="129"/>
    </row>
    <row r="2015" spans="21:21" x14ac:dyDescent="0.25">
      <c r="U2015" s="129"/>
    </row>
    <row r="2016" spans="21:21" x14ac:dyDescent="0.25">
      <c r="U2016" s="129"/>
    </row>
    <row r="2017" spans="21:21" x14ac:dyDescent="0.25">
      <c r="U2017" s="129"/>
    </row>
    <row r="2018" spans="21:21" x14ac:dyDescent="0.25">
      <c r="U2018" s="129"/>
    </row>
    <row r="2019" spans="21:21" x14ac:dyDescent="0.25">
      <c r="U2019" s="129"/>
    </row>
    <row r="2020" spans="21:21" x14ac:dyDescent="0.25">
      <c r="U2020" s="129"/>
    </row>
    <row r="2021" spans="21:21" x14ac:dyDescent="0.25">
      <c r="U2021" s="129"/>
    </row>
    <row r="2022" spans="21:21" x14ac:dyDescent="0.25">
      <c r="U2022" s="129"/>
    </row>
    <row r="2023" spans="21:21" x14ac:dyDescent="0.25">
      <c r="U2023" s="129"/>
    </row>
    <row r="2024" spans="21:21" x14ac:dyDescent="0.25">
      <c r="U2024" s="129"/>
    </row>
    <row r="2025" spans="21:21" x14ac:dyDescent="0.25">
      <c r="U2025" s="129"/>
    </row>
    <row r="2026" spans="21:21" x14ac:dyDescent="0.25">
      <c r="U2026" s="129"/>
    </row>
    <row r="2027" spans="21:21" x14ac:dyDescent="0.25">
      <c r="U2027" s="129"/>
    </row>
    <row r="2028" spans="21:21" x14ac:dyDescent="0.25">
      <c r="U2028" s="129"/>
    </row>
    <row r="2029" spans="21:21" x14ac:dyDescent="0.25">
      <c r="U2029" s="129"/>
    </row>
    <row r="2030" spans="21:21" x14ac:dyDescent="0.25">
      <c r="U2030" s="129"/>
    </row>
    <row r="2031" spans="21:21" x14ac:dyDescent="0.25">
      <c r="U2031" s="129"/>
    </row>
    <row r="2032" spans="21:21" x14ac:dyDescent="0.25">
      <c r="U2032" s="129"/>
    </row>
    <row r="2033" spans="21:21" x14ac:dyDescent="0.25">
      <c r="U2033" s="129"/>
    </row>
    <row r="2034" spans="21:21" x14ac:dyDescent="0.25">
      <c r="U2034" s="129"/>
    </row>
    <row r="2035" spans="21:21" x14ac:dyDescent="0.25">
      <c r="U2035" s="129"/>
    </row>
    <row r="2036" spans="21:21" x14ac:dyDescent="0.25">
      <c r="U2036" s="129"/>
    </row>
    <row r="2037" spans="21:21" x14ac:dyDescent="0.25">
      <c r="U2037" s="129"/>
    </row>
    <row r="2038" spans="21:21" x14ac:dyDescent="0.25">
      <c r="U2038" s="129"/>
    </row>
    <row r="2039" spans="21:21" x14ac:dyDescent="0.25">
      <c r="U2039" s="129"/>
    </row>
    <row r="2040" spans="21:21" x14ac:dyDescent="0.25">
      <c r="U2040" s="129"/>
    </row>
    <row r="2041" spans="21:21" x14ac:dyDescent="0.25">
      <c r="U2041" s="129"/>
    </row>
    <row r="2042" spans="21:21" x14ac:dyDescent="0.25">
      <c r="U2042" s="129"/>
    </row>
    <row r="2043" spans="21:21" x14ac:dyDescent="0.25">
      <c r="U2043" s="129"/>
    </row>
    <row r="2044" spans="21:21" x14ac:dyDescent="0.25">
      <c r="U2044" s="129"/>
    </row>
    <row r="2045" spans="21:21" x14ac:dyDescent="0.25">
      <c r="U2045" s="129"/>
    </row>
    <row r="2046" spans="21:21" x14ac:dyDescent="0.25">
      <c r="U2046" s="129"/>
    </row>
    <row r="2047" spans="21:21" x14ac:dyDescent="0.25">
      <c r="U2047" s="129"/>
    </row>
    <row r="2048" spans="21:21" x14ac:dyDescent="0.25">
      <c r="U2048" s="129"/>
    </row>
    <row r="2049" spans="21:21" x14ac:dyDescent="0.25">
      <c r="U2049" s="129"/>
    </row>
    <row r="2050" spans="21:21" x14ac:dyDescent="0.25">
      <c r="U2050" s="129"/>
    </row>
    <row r="2051" spans="21:21" x14ac:dyDescent="0.25">
      <c r="U2051" s="129"/>
    </row>
    <row r="2052" spans="21:21" x14ac:dyDescent="0.25">
      <c r="U2052" s="129"/>
    </row>
    <row r="2053" spans="21:21" x14ac:dyDescent="0.25">
      <c r="U2053" s="129"/>
    </row>
    <row r="2054" spans="21:21" x14ac:dyDescent="0.25">
      <c r="U2054" s="129"/>
    </row>
    <row r="2055" spans="21:21" x14ac:dyDescent="0.25">
      <c r="U2055" s="129"/>
    </row>
    <row r="2056" spans="21:21" x14ac:dyDescent="0.25">
      <c r="U2056" s="129"/>
    </row>
    <row r="2057" spans="21:21" x14ac:dyDescent="0.25">
      <c r="U2057" s="129"/>
    </row>
    <row r="2058" spans="21:21" x14ac:dyDescent="0.25">
      <c r="U2058" s="129"/>
    </row>
    <row r="2059" spans="21:21" x14ac:dyDescent="0.25">
      <c r="U2059" s="129"/>
    </row>
    <row r="2060" spans="21:21" x14ac:dyDescent="0.25">
      <c r="U2060" s="129"/>
    </row>
    <row r="2061" spans="21:21" x14ac:dyDescent="0.25">
      <c r="U2061" s="129"/>
    </row>
    <row r="2062" spans="21:21" x14ac:dyDescent="0.25">
      <c r="U2062" s="129"/>
    </row>
    <row r="2063" spans="21:21" x14ac:dyDescent="0.25">
      <c r="U2063" s="129"/>
    </row>
    <row r="2064" spans="21:21" x14ac:dyDescent="0.25">
      <c r="U2064" s="129"/>
    </row>
    <row r="2065" spans="21:21" x14ac:dyDescent="0.25">
      <c r="U2065" s="129"/>
    </row>
    <row r="2066" spans="21:21" x14ac:dyDescent="0.25">
      <c r="U2066" s="129"/>
    </row>
    <row r="2067" spans="21:21" x14ac:dyDescent="0.25">
      <c r="U2067" s="129"/>
    </row>
    <row r="2068" spans="21:21" x14ac:dyDescent="0.25">
      <c r="U2068" s="129"/>
    </row>
    <row r="2069" spans="21:21" x14ac:dyDescent="0.25">
      <c r="U2069" s="129"/>
    </row>
    <row r="2070" spans="21:21" x14ac:dyDescent="0.25">
      <c r="U2070" s="129"/>
    </row>
    <row r="2071" spans="21:21" x14ac:dyDescent="0.25">
      <c r="U2071" s="129"/>
    </row>
    <row r="2072" spans="21:21" x14ac:dyDescent="0.25">
      <c r="U2072" s="129"/>
    </row>
    <row r="2073" spans="21:21" x14ac:dyDescent="0.25">
      <c r="U2073" s="129"/>
    </row>
    <row r="2074" spans="21:21" x14ac:dyDescent="0.25">
      <c r="U2074" s="129"/>
    </row>
    <row r="2075" spans="21:21" x14ac:dyDescent="0.25">
      <c r="U2075" s="129"/>
    </row>
    <row r="2076" spans="21:21" x14ac:dyDescent="0.25">
      <c r="U2076" s="129"/>
    </row>
    <row r="2077" spans="21:21" x14ac:dyDescent="0.25">
      <c r="U2077" s="129"/>
    </row>
    <row r="2078" spans="21:21" x14ac:dyDescent="0.25">
      <c r="U2078" s="129"/>
    </row>
    <row r="2079" spans="21:21" x14ac:dyDescent="0.25">
      <c r="U2079" s="129"/>
    </row>
    <row r="2080" spans="21:21" x14ac:dyDescent="0.25">
      <c r="U2080" s="129"/>
    </row>
    <row r="2081" spans="21:21" x14ac:dyDescent="0.25">
      <c r="U2081" s="129"/>
    </row>
    <row r="2082" spans="21:21" x14ac:dyDescent="0.25">
      <c r="U2082" s="129"/>
    </row>
    <row r="2083" spans="21:21" x14ac:dyDescent="0.25">
      <c r="U2083" s="129"/>
    </row>
    <row r="2084" spans="21:21" x14ac:dyDescent="0.25">
      <c r="U2084" s="129"/>
    </row>
    <row r="2085" spans="21:21" x14ac:dyDescent="0.25">
      <c r="U2085" s="129"/>
    </row>
    <row r="2086" spans="21:21" x14ac:dyDescent="0.25">
      <c r="U2086" s="129"/>
    </row>
    <row r="2087" spans="21:21" x14ac:dyDescent="0.25">
      <c r="U2087" s="129"/>
    </row>
    <row r="2088" spans="21:21" x14ac:dyDescent="0.25">
      <c r="U2088" s="129"/>
    </row>
    <row r="2089" spans="21:21" x14ac:dyDescent="0.25">
      <c r="U2089" s="129"/>
    </row>
    <row r="2090" spans="21:21" x14ac:dyDescent="0.25">
      <c r="U2090" s="129"/>
    </row>
    <row r="2091" spans="21:21" x14ac:dyDescent="0.25">
      <c r="U2091" s="129"/>
    </row>
    <row r="2092" spans="21:21" x14ac:dyDescent="0.25">
      <c r="U2092" s="129"/>
    </row>
    <row r="2093" spans="21:21" x14ac:dyDescent="0.25">
      <c r="U2093" s="129"/>
    </row>
    <row r="2094" spans="21:21" x14ac:dyDescent="0.25">
      <c r="U2094" s="129"/>
    </row>
    <row r="2095" spans="21:21" x14ac:dyDescent="0.25">
      <c r="U2095" s="129"/>
    </row>
    <row r="2096" spans="21:21" x14ac:dyDescent="0.25">
      <c r="U2096" s="129"/>
    </row>
    <row r="2097" spans="21:21" x14ac:dyDescent="0.25">
      <c r="U2097" s="129"/>
    </row>
    <row r="2098" spans="21:21" x14ac:dyDescent="0.25">
      <c r="U2098" s="129"/>
    </row>
    <row r="2099" spans="21:21" x14ac:dyDescent="0.25">
      <c r="U2099" s="129"/>
    </row>
    <row r="2100" spans="21:21" x14ac:dyDescent="0.25">
      <c r="U2100" s="129"/>
    </row>
    <row r="2101" spans="21:21" x14ac:dyDescent="0.25">
      <c r="U2101" s="129"/>
    </row>
    <row r="2102" spans="21:21" x14ac:dyDescent="0.25">
      <c r="U2102" s="129"/>
    </row>
    <row r="2103" spans="21:21" x14ac:dyDescent="0.25">
      <c r="U2103" s="129"/>
    </row>
    <row r="2104" spans="21:21" x14ac:dyDescent="0.25">
      <c r="U2104" s="129"/>
    </row>
    <row r="2105" spans="21:21" x14ac:dyDescent="0.25">
      <c r="U2105" s="129"/>
    </row>
    <row r="2106" spans="21:21" x14ac:dyDescent="0.25">
      <c r="U2106" s="129"/>
    </row>
    <row r="2107" spans="21:21" x14ac:dyDescent="0.25">
      <c r="U2107" s="129"/>
    </row>
    <row r="2108" spans="21:21" x14ac:dyDescent="0.25">
      <c r="U2108" s="129"/>
    </row>
    <row r="2109" spans="21:21" x14ac:dyDescent="0.25">
      <c r="U2109" s="129"/>
    </row>
    <row r="2110" spans="21:21" x14ac:dyDescent="0.25">
      <c r="U2110" s="129"/>
    </row>
    <row r="2111" spans="21:21" x14ac:dyDescent="0.25">
      <c r="U2111" s="129"/>
    </row>
    <row r="2112" spans="21:21" x14ac:dyDescent="0.25">
      <c r="U2112" s="129"/>
    </row>
    <row r="2113" spans="21:21" x14ac:dyDescent="0.25">
      <c r="U2113" s="129"/>
    </row>
    <row r="2114" spans="21:21" x14ac:dyDescent="0.25">
      <c r="U2114" s="129"/>
    </row>
    <row r="2115" spans="21:21" x14ac:dyDescent="0.25">
      <c r="U2115" s="129"/>
    </row>
    <row r="2116" spans="21:21" x14ac:dyDescent="0.25">
      <c r="U2116" s="129"/>
    </row>
    <row r="2117" spans="21:21" x14ac:dyDescent="0.25">
      <c r="U2117" s="129"/>
    </row>
    <row r="2118" spans="21:21" x14ac:dyDescent="0.25">
      <c r="U2118" s="129"/>
    </row>
    <row r="2119" spans="21:21" x14ac:dyDescent="0.25">
      <c r="U2119" s="129"/>
    </row>
    <row r="2120" spans="21:21" x14ac:dyDescent="0.25">
      <c r="U2120" s="129"/>
    </row>
    <row r="2121" spans="21:21" x14ac:dyDescent="0.25">
      <c r="U2121" s="129"/>
    </row>
    <row r="2122" spans="21:21" x14ac:dyDescent="0.25">
      <c r="U2122" s="129"/>
    </row>
    <row r="2123" spans="21:21" x14ac:dyDescent="0.25">
      <c r="U2123" s="129"/>
    </row>
    <row r="2124" spans="21:21" x14ac:dyDescent="0.25">
      <c r="U2124" s="129"/>
    </row>
    <row r="2125" spans="21:21" x14ac:dyDescent="0.25">
      <c r="U2125" s="129"/>
    </row>
    <row r="2126" spans="21:21" x14ac:dyDescent="0.25">
      <c r="U2126" s="129"/>
    </row>
    <row r="2127" spans="21:21" x14ac:dyDescent="0.25">
      <c r="U2127" s="129"/>
    </row>
    <row r="2128" spans="21:21" x14ac:dyDescent="0.25">
      <c r="U2128" s="129"/>
    </row>
    <row r="2129" spans="21:21" x14ac:dyDescent="0.25">
      <c r="U2129" s="129"/>
    </row>
    <row r="2130" spans="21:21" x14ac:dyDescent="0.25">
      <c r="U2130" s="129"/>
    </row>
    <row r="2131" spans="21:21" x14ac:dyDescent="0.25">
      <c r="U2131" s="129"/>
    </row>
    <row r="2132" spans="21:21" x14ac:dyDescent="0.25">
      <c r="U2132" s="129"/>
    </row>
    <row r="2133" spans="21:21" x14ac:dyDescent="0.25">
      <c r="U2133" s="129"/>
    </row>
    <row r="2134" spans="21:21" x14ac:dyDescent="0.25">
      <c r="U2134" s="129"/>
    </row>
    <row r="2135" spans="21:21" x14ac:dyDescent="0.25">
      <c r="U2135" s="129"/>
    </row>
    <row r="2136" spans="21:21" x14ac:dyDescent="0.25">
      <c r="U2136" s="129"/>
    </row>
    <row r="2137" spans="21:21" x14ac:dyDescent="0.25">
      <c r="U2137" s="129"/>
    </row>
    <row r="2138" spans="21:21" x14ac:dyDescent="0.25">
      <c r="U2138" s="129"/>
    </row>
    <row r="2139" spans="21:21" x14ac:dyDescent="0.25">
      <c r="U2139" s="129"/>
    </row>
    <row r="2140" spans="21:21" x14ac:dyDescent="0.25">
      <c r="U2140" s="129"/>
    </row>
    <row r="2141" spans="21:21" x14ac:dyDescent="0.25">
      <c r="U2141" s="129"/>
    </row>
    <row r="2142" spans="21:21" x14ac:dyDescent="0.25">
      <c r="U2142" s="129"/>
    </row>
    <row r="2143" spans="21:21" x14ac:dyDescent="0.25">
      <c r="U2143" s="129"/>
    </row>
    <row r="2144" spans="21:21" x14ac:dyDescent="0.25">
      <c r="U2144" s="129"/>
    </row>
    <row r="2145" spans="21:21" x14ac:dyDescent="0.25">
      <c r="U2145" s="129"/>
    </row>
    <row r="2146" spans="21:21" x14ac:dyDescent="0.25">
      <c r="U2146" s="129"/>
    </row>
    <row r="2147" spans="21:21" x14ac:dyDescent="0.25">
      <c r="U2147" s="129"/>
    </row>
    <row r="2148" spans="21:21" x14ac:dyDescent="0.25">
      <c r="U2148" s="129"/>
    </row>
    <row r="2149" spans="21:21" x14ac:dyDescent="0.25">
      <c r="U2149" s="129"/>
    </row>
    <row r="2150" spans="21:21" x14ac:dyDescent="0.25">
      <c r="U2150" s="129"/>
    </row>
    <row r="2151" spans="21:21" x14ac:dyDescent="0.25">
      <c r="U2151" s="129"/>
    </row>
    <row r="2152" spans="21:21" x14ac:dyDescent="0.25">
      <c r="U2152" s="129"/>
    </row>
    <row r="2153" spans="21:21" x14ac:dyDescent="0.25">
      <c r="U2153" s="129"/>
    </row>
    <row r="2154" spans="21:21" x14ac:dyDescent="0.25">
      <c r="U2154" s="129"/>
    </row>
    <row r="2155" spans="21:21" x14ac:dyDescent="0.25">
      <c r="U2155" s="129"/>
    </row>
    <row r="2156" spans="21:21" x14ac:dyDescent="0.25">
      <c r="U2156" s="129"/>
    </row>
    <row r="2157" spans="21:21" x14ac:dyDescent="0.25">
      <c r="U2157" s="129"/>
    </row>
    <row r="2158" spans="21:21" x14ac:dyDescent="0.25">
      <c r="U2158" s="129"/>
    </row>
    <row r="2159" spans="21:21" x14ac:dyDescent="0.25">
      <c r="U2159" s="129"/>
    </row>
    <row r="2160" spans="21:21" x14ac:dyDescent="0.25">
      <c r="U2160" s="129"/>
    </row>
    <row r="2161" spans="21:21" x14ac:dyDescent="0.25">
      <c r="U2161" s="129"/>
    </row>
    <row r="2162" spans="21:21" x14ac:dyDescent="0.25">
      <c r="U2162" s="129"/>
    </row>
    <row r="2163" spans="21:21" x14ac:dyDescent="0.25">
      <c r="U2163" s="129"/>
    </row>
    <row r="2164" spans="21:21" x14ac:dyDescent="0.25">
      <c r="U2164" s="129"/>
    </row>
    <row r="2165" spans="21:21" x14ac:dyDescent="0.25">
      <c r="U2165" s="129"/>
    </row>
    <row r="2166" spans="21:21" x14ac:dyDescent="0.25">
      <c r="U2166" s="129"/>
    </row>
    <row r="2167" spans="21:21" x14ac:dyDescent="0.25">
      <c r="U2167" s="129"/>
    </row>
    <row r="2168" spans="21:21" x14ac:dyDescent="0.25">
      <c r="U2168" s="129"/>
    </row>
    <row r="2169" spans="21:21" x14ac:dyDescent="0.25">
      <c r="U2169" s="129"/>
    </row>
    <row r="2170" spans="21:21" x14ac:dyDescent="0.25">
      <c r="U2170" s="129"/>
    </row>
    <row r="2171" spans="21:21" x14ac:dyDescent="0.25">
      <c r="U2171" s="129"/>
    </row>
    <row r="2172" spans="21:21" x14ac:dyDescent="0.25">
      <c r="U2172" s="129"/>
    </row>
    <row r="2173" spans="21:21" x14ac:dyDescent="0.25">
      <c r="U2173" s="129"/>
    </row>
    <row r="2174" spans="21:21" x14ac:dyDescent="0.25">
      <c r="U2174" s="129"/>
    </row>
    <row r="2175" spans="21:21" x14ac:dyDescent="0.25">
      <c r="U2175" s="129"/>
    </row>
    <row r="2176" spans="21:21" x14ac:dyDescent="0.25">
      <c r="U2176" s="129"/>
    </row>
    <row r="2177" spans="21:21" x14ac:dyDescent="0.25">
      <c r="U2177" s="129"/>
    </row>
    <row r="2178" spans="21:21" x14ac:dyDescent="0.25">
      <c r="U2178" s="129"/>
    </row>
    <row r="2179" spans="21:21" x14ac:dyDescent="0.25">
      <c r="U2179" s="129"/>
    </row>
    <row r="2180" spans="21:21" x14ac:dyDescent="0.25">
      <c r="U2180" s="129"/>
    </row>
    <row r="2181" spans="21:21" x14ac:dyDescent="0.25">
      <c r="U2181" s="129"/>
    </row>
    <row r="2182" spans="21:21" x14ac:dyDescent="0.25">
      <c r="U2182" s="129"/>
    </row>
    <row r="2183" spans="21:21" x14ac:dyDescent="0.25">
      <c r="U2183" s="129"/>
    </row>
    <row r="2184" spans="21:21" x14ac:dyDescent="0.25">
      <c r="U2184" s="129"/>
    </row>
    <row r="2185" spans="21:21" x14ac:dyDescent="0.25">
      <c r="U2185" s="129"/>
    </row>
    <row r="2186" spans="21:21" x14ac:dyDescent="0.25">
      <c r="U2186" s="129"/>
    </row>
    <row r="2187" spans="21:21" x14ac:dyDescent="0.25">
      <c r="U2187" s="129"/>
    </row>
    <row r="2188" spans="21:21" x14ac:dyDescent="0.25">
      <c r="U2188" s="129"/>
    </row>
    <row r="2189" spans="21:21" x14ac:dyDescent="0.25">
      <c r="U2189" s="129"/>
    </row>
    <row r="2190" spans="21:21" x14ac:dyDescent="0.25">
      <c r="U2190" s="129"/>
    </row>
    <row r="2191" spans="21:21" x14ac:dyDescent="0.25">
      <c r="U2191" s="129"/>
    </row>
    <row r="2192" spans="21:21" x14ac:dyDescent="0.25">
      <c r="U2192" s="129"/>
    </row>
    <row r="2193" spans="21:21" x14ac:dyDescent="0.25">
      <c r="U2193" s="129"/>
    </row>
    <row r="2194" spans="21:21" x14ac:dyDescent="0.25">
      <c r="U2194" s="129"/>
    </row>
    <row r="2195" spans="21:21" x14ac:dyDescent="0.25">
      <c r="U2195" s="129"/>
    </row>
    <row r="2196" spans="21:21" x14ac:dyDescent="0.25">
      <c r="U2196" s="129"/>
    </row>
    <row r="2197" spans="21:21" x14ac:dyDescent="0.25">
      <c r="U2197" s="129"/>
    </row>
    <row r="2198" spans="21:21" x14ac:dyDescent="0.25">
      <c r="U2198" s="129"/>
    </row>
    <row r="2199" spans="21:21" x14ac:dyDescent="0.25">
      <c r="U2199" s="129"/>
    </row>
    <row r="2200" spans="21:21" x14ac:dyDescent="0.25">
      <c r="U2200" s="129"/>
    </row>
    <row r="2201" spans="21:21" x14ac:dyDescent="0.25">
      <c r="U2201" s="129"/>
    </row>
    <row r="2202" spans="21:21" x14ac:dyDescent="0.25">
      <c r="U2202" s="129"/>
    </row>
    <row r="2203" spans="21:21" x14ac:dyDescent="0.25">
      <c r="U2203" s="129"/>
    </row>
    <row r="2204" spans="21:21" x14ac:dyDescent="0.25">
      <c r="U2204" s="129"/>
    </row>
    <row r="2205" spans="21:21" x14ac:dyDescent="0.25">
      <c r="U2205" s="129"/>
    </row>
    <row r="2206" spans="21:21" x14ac:dyDescent="0.25">
      <c r="U2206" s="129"/>
    </row>
    <row r="2207" spans="21:21" x14ac:dyDescent="0.25">
      <c r="U2207" s="129"/>
    </row>
    <row r="2208" spans="21:21" x14ac:dyDescent="0.25">
      <c r="U2208" s="129"/>
    </row>
    <row r="2209" spans="21:21" x14ac:dyDescent="0.25">
      <c r="U2209" s="129"/>
    </row>
    <row r="2210" spans="21:21" x14ac:dyDescent="0.25">
      <c r="U2210" s="129"/>
    </row>
    <row r="2211" spans="21:21" x14ac:dyDescent="0.25">
      <c r="U2211" s="129"/>
    </row>
    <row r="2212" spans="21:21" x14ac:dyDescent="0.25">
      <c r="U2212" s="129"/>
    </row>
    <row r="2213" spans="21:21" x14ac:dyDescent="0.25">
      <c r="U2213" s="129"/>
    </row>
    <row r="2214" spans="21:21" x14ac:dyDescent="0.25">
      <c r="U2214" s="129"/>
    </row>
    <row r="2215" spans="21:21" x14ac:dyDescent="0.25">
      <c r="U2215" s="129"/>
    </row>
    <row r="2216" spans="21:21" x14ac:dyDescent="0.25">
      <c r="U2216" s="129"/>
    </row>
    <row r="2217" spans="21:21" x14ac:dyDescent="0.25">
      <c r="U2217" s="129"/>
    </row>
    <row r="2218" spans="21:21" x14ac:dyDescent="0.25">
      <c r="U2218" s="129"/>
    </row>
    <row r="2219" spans="21:21" x14ac:dyDescent="0.25">
      <c r="U2219" s="129"/>
    </row>
    <row r="2220" spans="21:21" x14ac:dyDescent="0.25">
      <c r="U2220" s="129"/>
    </row>
    <row r="2221" spans="21:21" x14ac:dyDescent="0.25">
      <c r="U2221" s="129"/>
    </row>
    <row r="2222" spans="21:21" x14ac:dyDescent="0.25">
      <c r="U2222" s="129"/>
    </row>
    <row r="2223" spans="21:21" x14ac:dyDescent="0.25">
      <c r="U2223" s="129"/>
    </row>
    <row r="2224" spans="21:21" x14ac:dyDescent="0.25">
      <c r="U2224" s="129"/>
    </row>
    <row r="2225" spans="21:21" x14ac:dyDescent="0.25">
      <c r="U2225" s="129"/>
    </row>
    <row r="2226" spans="21:21" x14ac:dyDescent="0.25">
      <c r="U2226" s="129"/>
    </row>
    <row r="2227" spans="21:21" x14ac:dyDescent="0.25">
      <c r="U2227" s="129"/>
    </row>
    <row r="2228" spans="21:21" x14ac:dyDescent="0.25">
      <c r="U2228" s="129"/>
    </row>
    <row r="2229" spans="21:21" x14ac:dyDescent="0.25">
      <c r="U2229" s="129"/>
    </row>
    <row r="2230" spans="21:21" x14ac:dyDescent="0.25">
      <c r="U2230" s="129"/>
    </row>
    <row r="2231" spans="21:21" x14ac:dyDescent="0.25">
      <c r="U2231" s="129"/>
    </row>
    <row r="2232" spans="21:21" x14ac:dyDescent="0.25">
      <c r="U2232" s="129"/>
    </row>
    <row r="2233" spans="21:21" x14ac:dyDescent="0.25">
      <c r="U2233" s="129"/>
    </row>
    <row r="2234" spans="21:21" x14ac:dyDescent="0.25">
      <c r="U2234" s="129"/>
    </row>
    <row r="2235" spans="21:21" x14ac:dyDescent="0.25">
      <c r="U2235" s="129"/>
    </row>
    <row r="2236" spans="21:21" x14ac:dyDescent="0.25">
      <c r="U2236" s="129"/>
    </row>
    <row r="2237" spans="21:21" x14ac:dyDescent="0.25">
      <c r="U2237" s="129"/>
    </row>
    <row r="2238" spans="21:21" x14ac:dyDescent="0.25">
      <c r="U2238" s="129"/>
    </row>
    <row r="2239" spans="21:21" x14ac:dyDescent="0.25">
      <c r="U2239" s="129"/>
    </row>
    <row r="2240" spans="21:21" x14ac:dyDescent="0.25">
      <c r="U2240" s="129"/>
    </row>
    <row r="2241" spans="21:21" x14ac:dyDescent="0.25">
      <c r="U2241" s="129"/>
    </row>
    <row r="2242" spans="21:21" x14ac:dyDescent="0.25">
      <c r="U2242" s="129"/>
    </row>
    <row r="2243" spans="21:21" x14ac:dyDescent="0.25">
      <c r="U2243" s="129"/>
    </row>
    <row r="2244" spans="21:21" x14ac:dyDescent="0.25">
      <c r="U2244" s="129"/>
    </row>
    <row r="2245" spans="21:21" x14ac:dyDescent="0.25">
      <c r="U2245" s="129"/>
    </row>
    <row r="2246" spans="21:21" x14ac:dyDescent="0.25">
      <c r="U2246" s="129"/>
    </row>
    <row r="2247" spans="21:21" x14ac:dyDescent="0.25">
      <c r="U2247" s="129"/>
    </row>
    <row r="2248" spans="21:21" x14ac:dyDescent="0.25">
      <c r="U2248" s="129"/>
    </row>
    <row r="2249" spans="21:21" x14ac:dyDescent="0.25">
      <c r="U2249" s="129"/>
    </row>
    <row r="2250" spans="21:21" x14ac:dyDescent="0.25">
      <c r="U2250" s="129"/>
    </row>
    <row r="2251" spans="21:21" x14ac:dyDescent="0.25">
      <c r="U2251" s="129"/>
    </row>
    <row r="2252" spans="21:21" x14ac:dyDescent="0.25">
      <c r="U2252" s="129"/>
    </row>
    <row r="2253" spans="21:21" x14ac:dyDescent="0.25">
      <c r="U2253" s="129"/>
    </row>
    <row r="2254" spans="21:21" x14ac:dyDescent="0.25">
      <c r="U2254" s="129"/>
    </row>
    <row r="2255" spans="21:21" x14ac:dyDescent="0.25">
      <c r="U2255" s="129"/>
    </row>
    <row r="2256" spans="21:21" x14ac:dyDescent="0.25">
      <c r="U2256" s="129"/>
    </row>
    <row r="2257" spans="21:21" x14ac:dyDescent="0.25">
      <c r="U2257" s="129"/>
    </row>
    <row r="2258" spans="21:21" x14ac:dyDescent="0.25">
      <c r="U2258" s="129"/>
    </row>
    <row r="2259" spans="21:21" x14ac:dyDescent="0.25">
      <c r="U2259" s="129"/>
    </row>
    <row r="2260" spans="21:21" x14ac:dyDescent="0.25">
      <c r="U2260" s="129"/>
    </row>
    <row r="2261" spans="21:21" x14ac:dyDescent="0.25">
      <c r="U2261" s="129"/>
    </row>
    <row r="2262" spans="21:21" x14ac:dyDescent="0.25">
      <c r="U2262" s="129"/>
    </row>
    <row r="2263" spans="21:21" x14ac:dyDescent="0.25">
      <c r="U2263" s="129"/>
    </row>
    <row r="2264" spans="21:21" x14ac:dyDescent="0.25">
      <c r="U2264" s="129"/>
    </row>
    <row r="2265" spans="21:21" x14ac:dyDescent="0.25">
      <c r="U2265" s="129"/>
    </row>
    <row r="2266" spans="21:21" x14ac:dyDescent="0.25">
      <c r="U2266" s="129"/>
    </row>
    <row r="2267" spans="21:21" x14ac:dyDescent="0.25">
      <c r="U2267" s="129"/>
    </row>
    <row r="2268" spans="21:21" x14ac:dyDescent="0.25">
      <c r="U2268" s="129"/>
    </row>
    <row r="2269" spans="21:21" x14ac:dyDescent="0.25">
      <c r="U2269" s="129"/>
    </row>
    <row r="2270" spans="21:21" x14ac:dyDescent="0.25">
      <c r="U2270" s="129"/>
    </row>
    <row r="2271" spans="21:21" x14ac:dyDescent="0.25">
      <c r="U2271" s="129"/>
    </row>
    <row r="2272" spans="21:21" x14ac:dyDescent="0.25">
      <c r="U2272" s="129"/>
    </row>
    <row r="2273" spans="21:21" x14ac:dyDescent="0.25">
      <c r="U2273" s="129"/>
    </row>
    <row r="2274" spans="21:21" x14ac:dyDescent="0.25">
      <c r="U2274" s="129"/>
    </row>
    <row r="2275" spans="21:21" x14ac:dyDescent="0.25">
      <c r="U2275" s="129"/>
    </row>
    <row r="2276" spans="21:21" x14ac:dyDescent="0.25">
      <c r="U2276" s="129"/>
    </row>
    <row r="2277" spans="21:21" x14ac:dyDescent="0.25">
      <c r="U2277" s="129"/>
    </row>
    <row r="2278" spans="21:21" x14ac:dyDescent="0.25">
      <c r="U2278" s="129"/>
    </row>
    <row r="2279" spans="21:21" x14ac:dyDescent="0.25">
      <c r="U2279" s="129"/>
    </row>
    <row r="2280" spans="21:21" x14ac:dyDescent="0.25">
      <c r="U2280" s="129"/>
    </row>
    <row r="2281" spans="21:21" x14ac:dyDescent="0.25">
      <c r="U2281" s="129"/>
    </row>
    <row r="2282" spans="21:21" x14ac:dyDescent="0.25">
      <c r="U2282" s="129"/>
    </row>
    <row r="2283" spans="21:21" x14ac:dyDescent="0.25">
      <c r="U2283" s="129"/>
    </row>
    <row r="2284" spans="21:21" x14ac:dyDescent="0.25">
      <c r="U2284" s="129"/>
    </row>
    <row r="2285" spans="21:21" x14ac:dyDescent="0.25">
      <c r="U2285" s="129"/>
    </row>
    <row r="2286" spans="21:21" x14ac:dyDescent="0.25">
      <c r="U2286" s="129"/>
    </row>
    <row r="2287" spans="21:21" x14ac:dyDescent="0.25">
      <c r="U2287" s="129"/>
    </row>
    <row r="2288" spans="21:21" x14ac:dyDescent="0.25">
      <c r="U2288" s="129"/>
    </row>
    <row r="2289" spans="21:21" x14ac:dyDescent="0.25">
      <c r="U2289" s="129"/>
    </row>
    <row r="2290" spans="21:21" x14ac:dyDescent="0.25">
      <c r="U2290" s="129"/>
    </row>
    <row r="2291" spans="21:21" x14ac:dyDescent="0.25">
      <c r="U2291" s="129"/>
    </row>
    <row r="2292" spans="21:21" x14ac:dyDescent="0.25">
      <c r="U2292" s="129"/>
    </row>
    <row r="2293" spans="21:21" x14ac:dyDescent="0.25">
      <c r="U2293" s="129"/>
    </row>
    <row r="2294" spans="21:21" x14ac:dyDescent="0.25">
      <c r="U2294" s="129"/>
    </row>
    <row r="2295" spans="21:21" x14ac:dyDescent="0.25">
      <c r="U2295" s="129"/>
    </row>
    <row r="2296" spans="21:21" x14ac:dyDescent="0.25">
      <c r="U2296" s="129"/>
    </row>
    <row r="2297" spans="21:21" x14ac:dyDescent="0.25">
      <c r="U2297" s="129"/>
    </row>
    <row r="2298" spans="21:21" x14ac:dyDescent="0.25">
      <c r="U2298" s="129"/>
    </row>
    <row r="2299" spans="21:21" x14ac:dyDescent="0.25">
      <c r="U2299" s="129"/>
    </row>
    <row r="2300" spans="21:21" x14ac:dyDescent="0.25">
      <c r="U2300" s="129"/>
    </row>
    <row r="2301" spans="21:21" x14ac:dyDescent="0.25">
      <c r="U2301" s="129"/>
    </row>
    <row r="2302" spans="21:21" x14ac:dyDescent="0.25">
      <c r="U2302" s="129"/>
    </row>
    <row r="2303" spans="21:21" x14ac:dyDescent="0.25">
      <c r="U2303" s="129"/>
    </row>
    <row r="2304" spans="21:21" x14ac:dyDescent="0.25">
      <c r="U2304" s="129"/>
    </row>
    <row r="2305" spans="21:21" x14ac:dyDescent="0.25">
      <c r="U2305" s="129"/>
    </row>
    <row r="2306" spans="21:21" x14ac:dyDescent="0.25">
      <c r="U2306" s="129"/>
    </row>
    <row r="2307" spans="21:21" x14ac:dyDescent="0.25">
      <c r="U2307" s="129"/>
    </row>
    <row r="2308" spans="21:21" x14ac:dyDescent="0.25">
      <c r="U2308" s="129"/>
    </row>
    <row r="2309" spans="21:21" x14ac:dyDescent="0.25">
      <c r="U2309" s="129"/>
    </row>
    <row r="2310" spans="21:21" x14ac:dyDescent="0.25">
      <c r="U2310" s="129"/>
    </row>
    <row r="2311" spans="21:21" x14ac:dyDescent="0.25">
      <c r="U2311" s="129"/>
    </row>
    <row r="2312" spans="21:21" x14ac:dyDescent="0.25">
      <c r="U2312" s="129"/>
    </row>
    <row r="2313" spans="21:21" x14ac:dyDescent="0.25">
      <c r="U2313" s="129"/>
    </row>
    <row r="2314" spans="21:21" x14ac:dyDescent="0.25">
      <c r="U2314" s="129"/>
    </row>
    <row r="2315" spans="21:21" x14ac:dyDescent="0.25">
      <c r="U2315" s="129"/>
    </row>
    <row r="2316" spans="21:21" x14ac:dyDescent="0.25">
      <c r="U2316" s="129"/>
    </row>
    <row r="2317" spans="21:21" x14ac:dyDescent="0.25">
      <c r="U2317" s="129"/>
    </row>
    <row r="2318" spans="21:21" x14ac:dyDescent="0.25">
      <c r="U2318" s="129"/>
    </row>
    <row r="2319" spans="21:21" x14ac:dyDescent="0.25">
      <c r="U2319" s="129"/>
    </row>
    <row r="2320" spans="21:21" x14ac:dyDescent="0.25">
      <c r="U2320" s="129"/>
    </row>
    <row r="2321" spans="21:21" x14ac:dyDescent="0.25">
      <c r="U2321" s="129"/>
    </row>
    <row r="2322" spans="21:21" x14ac:dyDescent="0.25">
      <c r="U2322" s="129"/>
    </row>
    <row r="2323" spans="21:21" x14ac:dyDescent="0.25">
      <c r="U2323" s="129"/>
    </row>
    <row r="2324" spans="21:21" x14ac:dyDescent="0.25">
      <c r="U2324" s="129"/>
    </row>
    <row r="2325" spans="21:21" x14ac:dyDescent="0.25">
      <c r="U2325" s="129"/>
    </row>
    <row r="2326" spans="21:21" x14ac:dyDescent="0.25">
      <c r="U2326" s="129"/>
    </row>
    <row r="2327" spans="21:21" x14ac:dyDescent="0.25">
      <c r="U2327" s="129"/>
    </row>
    <row r="2328" spans="21:21" x14ac:dyDescent="0.25">
      <c r="U2328" s="129"/>
    </row>
    <row r="2329" spans="21:21" x14ac:dyDescent="0.25">
      <c r="U2329" s="129"/>
    </row>
    <row r="2330" spans="21:21" x14ac:dyDescent="0.25">
      <c r="U2330" s="129"/>
    </row>
    <row r="2331" spans="21:21" x14ac:dyDescent="0.25">
      <c r="U2331" s="129"/>
    </row>
    <row r="2332" spans="21:21" x14ac:dyDescent="0.25">
      <c r="U2332" s="129"/>
    </row>
    <row r="2333" spans="21:21" x14ac:dyDescent="0.25">
      <c r="U2333" s="129"/>
    </row>
    <row r="2334" spans="21:21" x14ac:dyDescent="0.25">
      <c r="U2334" s="129"/>
    </row>
    <row r="2335" spans="21:21" x14ac:dyDescent="0.25">
      <c r="U2335" s="129"/>
    </row>
    <row r="2336" spans="21:21" x14ac:dyDescent="0.25">
      <c r="U2336" s="129"/>
    </row>
    <row r="2337" spans="21:21" x14ac:dyDescent="0.25">
      <c r="U2337" s="129"/>
    </row>
    <row r="2338" spans="21:21" x14ac:dyDescent="0.25">
      <c r="U2338" s="129"/>
    </row>
    <row r="2339" spans="21:21" x14ac:dyDescent="0.25">
      <c r="U2339" s="129"/>
    </row>
    <row r="2340" spans="21:21" x14ac:dyDescent="0.25">
      <c r="U2340" s="129"/>
    </row>
    <row r="2341" spans="21:21" x14ac:dyDescent="0.25">
      <c r="U2341" s="129"/>
    </row>
    <row r="2342" spans="21:21" x14ac:dyDescent="0.25">
      <c r="U2342" s="129"/>
    </row>
    <row r="2343" spans="21:21" x14ac:dyDescent="0.25">
      <c r="U2343" s="129"/>
    </row>
    <row r="2344" spans="21:21" x14ac:dyDescent="0.25">
      <c r="U2344" s="129"/>
    </row>
    <row r="2345" spans="21:21" x14ac:dyDescent="0.25">
      <c r="U2345" s="129"/>
    </row>
    <row r="2346" spans="21:21" x14ac:dyDescent="0.25">
      <c r="U2346" s="129"/>
    </row>
    <row r="2347" spans="21:21" x14ac:dyDescent="0.25">
      <c r="U2347" s="129"/>
    </row>
    <row r="2348" spans="21:21" x14ac:dyDescent="0.25">
      <c r="U2348" s="129"/>
    </row>
    <row r="2349" spans="21:21" x14ac:dyDescent="0.25">
      <c r="U2349" s="129"/>
    </row>
    <row r="2350" spans="21:21" x14ac:dyDescent="0.25">
      <c r="U2350" s="129"/>
    </row>
    <row r="2351" spans="21:21" x14ac:dyDescent="0.25">
      <c r="U2351" s="129"/>
    </row>
    <row r="2352" spans="21:21" x14ac:dyDescent="0.25">
      <c r="U2352" s="129"/>
    </row>
    <row r="2353" spans="21:21" x14ac:dyDescent="0.25">
      <c r="U2353" s="129"/>
    </row>
    <row r="2354" spans="21:21" x14ac:dyDescent="0.25">
      <c r="U2354" s="129"/>
    </row>
    <row r="2355" spans="21:21" x14ac:dyDescent="0.25">
      <c r="U2355" s="129"/>
    </row>
    <row r="2356" spans="21:21" x14ac:dyDescent="0.25">
      <c r="U2356" s="129"/>
    </row>
    <row r="2357" spans="21:21" x14ac:dyDescent="0.25">
      <c r="U2357" s="129"/>
    </row>
    <row r="2358" spans="21:21" x14ac:dyDescent="0.25">
      <c r="U2358" s="129"/>
    </row>
    <row r="2359" spans="21:21" x14ac:dyDescent="0.25">
      <c r="U2359" s="129"/>
    </row>
    <row r="2360" spans="21:21" x14ac:dyDescent="0.25">
      <c r="U2360" s="129"/>
    </row>
    <row r="2361" spans="21:21" x14ac:dyDescent="0.25">
      <c r="U2361" s="129"/>
    </row>
    <row r="2362" spans="21:21" x14ac:dyDescent="0.25">
      <c r="U2362" s="129"/>
    </row>
    <row r="2363" spans="21:21" x14ac:dyDescent="0.25">
      <c r="U2363" s="129"/>
    </row>
    <row r="2364" spans="21:21" x14ac:dyDescent="0.25">
      <c r="U2364" s="129"/>
    </row>
    <row r="2365" spans="21:21" x14ac:dyDescent="0.25">
      <c r="U2365" s="129"/>
    </row>
    <row r="2366" spans="21:21" x14ac:dyDescent="0.25">
      <c r="U2366" s="129"/>
    </row>
    <row r="2367" spans="21:21" x14ac:dyDescent="0.25">
      <c r="U2367" s="129"/>
    </row>
    <row r="2368" spans="21:21" x14ac:dyDescent="0.25">
      <c r="U2368" s="129"/>
    </row>
    <row r="2369" spans="21:21" x14ac:dyDescent="0.25">
      <c r="U2369" s="129"/>
    </row>
    <row r="2370" spans="21:21" x14ac:dyDescent="0.25">
      <c r="U2370" s="129"/>
    </row>
    <row r="2371" spans="21:21" x14ac:dyDescent="0.25">
      <c r="U2371" s="129"/>
    </row>
    <row r="2372" spans="21:21" x14ac:dyDescent="0.25">
      <c r="U2372" s="129"/>
    </row>
    <row r="2373" spans="21:21" x14ac:dyDescent="0.25">
      <c r="U2373" s="129"/>
    </row>
    <row r="2374" spans="21:21" x14ac:dyDescent="0.25">
      <c r="U2374" s="129"/>
    </row>
    <row r="2375" spans="21:21" x14ac:dyDescent="0.25">
      <c r="U2375" s="129"/>
    </row>
    <row r="2376" spans="21:21" x14ac:dyDescent="0.25">
      <c r="U2376" s="129"/>
    </row>
    <row r="2377" spans="21:21" x14ac:dyDescent="0.25">
      <c r="U2377" s="129"/>
    </row>
    <row r="2378" spans="21:21" x14ac:dyDescent="0.25">
      <c r="U2378" s="129"/>
    </row>
    <row r="2379" spans="21:21" x14ac:dyDescent="0.25">
      <c r="U2379" s="129"/>
    </row>
    <row r="2380" spans="21:21" x14ac:dyDescent="0.25">
      <c r="U2380" s="129"/>
    </row>
    <row r="2381" spans="21:21" x14ac:dyDescent="0.25">
      <c r="U2381" s="129"/>
    </row>
    <row r="2382" spans="21:21" x14ac:dyDescent="0.25">
      <c r="U2382" s="129"/>
    </row>
    <row r="2383" spans="21:21" x14ac:dyDescent="0.25">
      <c r="U2383" s="129"/>
    </row>
    <row r="2384" spans="21:21" x14ac:dyDescent="0.25">
      <c r="U2384" s="129"/>
    </row>
    <row r="2385" spans="21:21" x14ac:dyDescent="0.25">
      <c r="U2385" s="129"/>
    </row>
    <row r="2386" spans="21:21" x14ac:dyDescent="0.25">
      <c r="U2386" s="129"/>
    </row>
    <row r="2387" spans="21:21" x14ac:dyDescent="0.25">
      <c r="U2387" s="129"/>
    </row>
    <row r="2388" spans="21:21" x14ac:dyDescent="0.25">
      <c r="U2388" s="129"/>
    </row>
    <row r="2389" spans="21:21" x14ac:dyDescent="0.25">
      <c r="U2389" s="129"/>
    </row>
    <row r="2390" spans="21:21" x14ac:dyDescent="0.25">
      <c r="U2390" s="129"/>
    </row>
    <row r="2391" spans="21:21" x14ac:dyDescent="0.25">
      <c r="U2391" s="129"/>
    </row>
    <row r="2392" spans="21:21" x14ac:dyDescent="0.25">
      <c r="U2392" s="129"/>
    </row>
    <row r="2393" spans="21:21" x14ac:dyDescent="0.25">
      <c r="U2393" s="129"/>
    </row>
    <row r="2394" spans="21:21" x14ac:dyDescent="0.25">
      <c r="U2394" s="129"/>
    </row>
    <row r="2395" spans="21:21" x14ac:dyDescent="0.25">
      <c r="U2395" s="129"/>
    </row>
    <row r="2396" spans="21:21" x14ac:dyDescent="0.25">
      <c r="U2396" s="129"/>
    </row>
    <row r="2397" spans="21:21" x14ac:dyDescent="0.25">
      <c r="U2397" s="129"/>
    </row>
    <row r="2398" spans="21:21" x14ac:dyDescent="0.25">
      <c r="U2398" s="129"/>
    </row>
    <row r="2399" spans="21:21" x14ac:dyDescent="0.25">
      <c r="U2399" s="129"/>
    </row>
    <row r="2400" spans="21:21" x14ac:dyDescent="0.25">
      <c r="U2400" s="129"/>
    </row>
    <row r="2401" spans="21:21" x14ac:dyDescent="0.25">
      <c r="U2401" s="129"/>
    </row>
    <row r="2402" spans="21:21" x14ac:dyDescent="0.25">
      <c r="U2402" s="129"/>
    </row>
    <row r="2403" spans="21:21" x14ac:dyDescent="0.25">
      <c r="U2403" s="129"/>
    </row>
    <row r="2404" spans="21:21" x14ac:dyDescent="0.25">
      <c r="U2404" s="129"/>
    </row>
    <row r="2405" spans="21:21" x14ac:dyDescent="0.25">
      <c r="U2405" s="129"/>
    </row>
    <row r="2406" spans="21:21" x14ac:dyDescent="0.25">
      <c r="U2406" s="129"/>
    </row>
    <row r="2407" spans="21:21" x14ac:dyDescent="0.25">
      <c r="U2407" s="129"/>
    </row>
    <row r="2408" spans="21:21" x14ac:dyDescent="0.25">
      <c r="U2408" s="129"/>
    </row>
    <row r="2409" spans="21:21" x14ac:dyDescent="0.25">
      <c r="U2409" s="129"/>
    </row>
    <row r="2410" spans="21:21" x14ac:dyDescent="0.25">
      <c r="U2410" s="129"/>
    </row>
    <row r="2411" spans="21:21" x14ac:dyDescent="0.25">
      <c r="U2411" s="129"/>
    </row>
    <row r="2412" spans="21:21" x14ac:dyDescent="0.25">
      <c r="U2412" s="129"/>
    </row>
    <row r="2413" spans="21:21" x14ac:dyDescent="0.25">
      <c r="U2413" s="129"/>
    </row>
    <row r="2414" spans="21:21" x14ac:dyDescent="0.25">
      <c r="U2414" s="129"/>
    </row>
    <row r="2415" spans="21:21" x14ac:dyDescent="0.25">
      <c r="U2415" s="129"/>
    </row>
    <row r="2416" spans="21:21" x14ac:dyDescent="0.25">
      <c r="U2416" s="129"/>
    </row>
    <row r="2417" spans="21:21" x14ac:dyDescent="0.25">
      <c r="U2417" s="129"/>
    </row>
    <row r="2418" spans="21:21" x14ac:dyDescent="0.25">
      <c r="U2418" s="129"/>
    </row>
    <row r="2419" spans="21:21" x14ac:dyDescent="0.25">
      <c r="U2419" s="129"/>
    </row>
    <row r="2420" spans="21:21" x14ac:dyDescent="0.25">
      <c r="U2420" s="129"/>
    </row>
    <row r="2421" spans="21:21" x14ac:dyDescent="0.25">
      <c r="U2421" s="129"/>
    </row>
    <row r="2422" spans="21:21" x14ac:dyDescent="0.25">
      <c r="U2422" s="129"/>
    </row>
    <row r="2423" spans="21:21" x14ac:dyDescent="0.25">
      <c r="U2423" s="129"/>
    </row>
    <row r="2424" spans="21:21" x14ac:dyDescent="0.25">
      <c r="U2424" s="129"/>
    </row>
    <row r="2425" spans="21:21" x14ac:dyDescent="0.25">
      <c r="U2425" s="129"/>
    </row>
    <row r="2426" spans="21:21" x14ac:dyDescent="0.25">
      <c r="U2426" s="129"/>
    </row>
    <row r="2427" spans="21:21" x14ac:dyDescent="0.25">
      <c r="U2427" s="129"/>
    </row>
    <row r="2428" spans="21:21" x14ac:dyDescent="0.25">
      <c r="U2428" s="129"/>
    </row>
    <row r="2429" spans="21:21" x14ac:dyDescent="0.25">
      <c r="U2429" s="129"/>
    </row>
    <row r="2430" spans="21:21" x14ac:dyDescent="0.25">
      <c r="U2430" s="129"/>
    </row>
    <row r="2431" spans="21:21" x14ac:dyDescent="0.25">
      <c r="U2431" s="129"/>
    </row>
  </sheetData>
  <sheetProtection password="EA71" sheet="1" objects="1" scenarios="1"/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83" fitToHeight="2" orientation="portrait" horizontalDpi="300" verticalDpi="98" r:id="rId1"/>
  <headerFooter alignWithMargins="0">
    <oddHeader>&amp;C&amp;"Arial,Fett"&amp;16LOHMANN BROWN Classic Layers
- feed and water consumption, feed conversion ratio and body weight -</oddHeader>
    <oddFooter>&amp;Lltzaf0915&amp;R&amp;12&amp;F, &amp;D</oddFooter>
  </headerFooter>
  <rowBreaks count="1" manualBreakCount="1">
    <brk id="68" max="11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9"/>
  <sheetViews>
    <sheetView workbookViewId="0">
      <selection activeCell="B1" sqref="B1"/>
    </sheetView>
  </sheetViews>
  <sheetFormatPr baseColWidth="10" defaultColWidth="11.44140625" defaultRowHeight="13.2" x14ac:dyDescent="0.25"/>
  <cols>
    <col min="1" max="1" width="65.109375" style="5" customWidth="1"/>
    <col min="2" max="2" width="34.109375" style="10" customWidth="1"/>
    <col min="3" max="12" width="11.44140625" style="5"/>
    <col min="13" max="16384" width="11.44140625" style="10"/>
  </cols>
  <sheetData>
    <row r="1" spans="1:2" x14ac:dyDescent="0.25">
      <c r="A1" s="167" t="s">
        <v>60</v>
      </c>
      <c r="B1" s="192" t="s">
        <v>61</v>
      </c>
    </row>
    <row r="3" spans="1:2" x14ac:dyDescent="0.25">
      <c r="A3" s="196" t="s">
        <v>0</v>
      </c>
      <c r="B3" s="197" t="s">
        <v>121</v>
      </c>
    </row>
    <row r="4" spans="1:2" x14ac:dyDescent="0.25">
      <c r="A4" s="198" t="s">
        <v>118</v>
      </c>
      <c r="B4" s="359" t="s">
        <v>211</v>
      </c>
    </row>
    <row r="5" spans="1:2" x14ac:dyDescent="0.25">
      <c r="A5" s="196"/>
      <c r="B5" s="197"/>
    </row>
    <row r="6" spans="1:2" x14ac:dyDescent="0.25">
      <c r="A6" s="198" t="s">
        <v>64</v>
      </c>
      <c r="B6" s="359" t="s">
        <v>122</v>
      </c>
    </row>
    <row r="7" spans="1:2" x14ac:dyDescent="0.25">
      <c r="A7" s="198" t="s">
        <v>65</v>
      </c>
      <c r="B7" s="359" t="s">
        <v>123</v>
      </c>
    </row>
    <row r="8" spans="1:2" x14ac:dyDescent="0.25">
      <c r="A8" s="196" t="s">
        <v>2</v>
      </c>
      <c r="B8" s="197" t="s">
        <v>124</v>
      </c>
    </row>
    <row r="9" spans="1:2" x14ac:dyDescent="0.25">
      <c r="A9" s="196" t="s">
        <v>3</v>
      </c>
      <c r="B9" s="359" t="s">
        <v>125</v>
      </c>
    </row>
    <row r="10" spans="1:2" x14ac:dyDescent="0.25">
      <c r="A10" s="196" t="s">
        <v>4</v>
      </c>
      <c r="B10" s="197" t="s">
        <v>126</v>
      </c>
    </row>
    <row r="11" spans="1:2" x14ac:dyDescent="0.25">
      <c r="A11" s="196" t="s">
        <v>5</v>
      </c>
      <c r="B11" s="197" t="s">
        <v>127</v>
      </c>
    </row>
    <row r="12" spans="1:2" x14ac:dyDescent="0.25">
      <c r="A12" s="196" t="s">
        <v>66</v>
      </c>
      <c r="B12" s="197" t="s">
        <v>128</v>
      </c>
    </row>
    <row r="13" spans="1:2" x14ac:dyDescent="0.25">
      <c r="A13" s="196" t="s">
        <v>67</v>
      </c>
      <c r="B13" s="197" t="s">
        <v>129</v>
      </c>
    </row>
    <row r="14" spans="1:2" x14ac:dyDescent="0.25">
      <c r="A14" s="196" t="s">
        <v>68</v>
      </c>
      <c r="B14" s="197" t="s">
        <v>130</v>
      </c>
    </row>
    <row r="15" spans="1:2" x14ac:dyDescent="0.25">
      <c r="A15" s="196" t="s">
        <v>6</v>
      </c>
      <c r="B15" s="197" t="s">
        <v>131</v>
      </c>
    </row>
    <row r="16" spans="1:2" x14ac:dyDescent="0.25">
      <c r="A16" s="196" t="s">
        <v>69</v>
      </c>
      <c r="B16" s="197" t="s">
        <v>132</v>
      </c>
    </row>
    <row r="17" spans="1:2" x14ac:dyDescent="0.25">
      <c r="A17" s="196" t="s">
        <v>70</v>
      </c>
      <c r="B17" s="197" t="s">
        <v>133</v>
      </c>
    </row>
    <row r="18" spans="1:2" x14ac:dyDescent="0.25">
      <c r="A18" s="196"/>
      <c r="B18" s="197"/>
    </row>
    <row r="19" spans="1:2" x14ac:dyDescent="0.25">
      <c r="A19" s="198" t="s">
        <v>7</v>
      </c>
      <c r="B19" s="359" t="s">
        <v>134</v>
      </c>
    </row>
    <row r="20" spans="1:2" x14ac:dyDescent="0.25">
      <c r="A20" s="196" t="s">
        <v>8</v>
      </c>
      <c r="B20" s="197" t="s">
        <v>135</v>
      </c>
    </row>
    <row r="21" spans="1:2" x14ac:dyDescent="0.25">
      <c r="A21" s="196" t="s">
        <v>71</v>
      </c>
      <c r="B21" s="197" t="s">
        <v>136</v>
      </c>
    </row>
    <row r="22" spans="1:2" x14ac:dyDescent="0.25">
      <c r="A22" s="198" t="s">
        <v>47</v>
      </c>
      <c r="B22" s="359" t="s">
        <v>137</v>
      </c>
    </row>
    <row r="23" spans="1:2" x14ac:dyDescent="0.25">
      <c r="A23" s="198" t="s">
        <v>72</v>
      </c>
      <c r="B23" s="359" t="s">
        <v>138</v>
      </c>
    </row>
    <row r="24" spans="1:2" x14ac:dyDescent="0.25">
      <c r="A24" s="198" t="s">
        <v>73</v>
      </c>
      <c r="B24" s="359" t="s">
        <v>139</v>
      </c>
    </row>
    <row r="25" spans="1:2" x14ac:dyDescent="0.25">
      <c r="A25" s="198" t="s">
        <v>98</v>
      </c>
      <c r="B25" s="359" t="s">
        <v>140</v>
      </c>
    </row>
    <row r="26" spans="1:2" x14ac:dyDescent="0.25">
      <c r="A26" s="198" t="s">
        <v>12</v>
      </c>
      <c r="B26" s="359" t="s">
        <v>141</v>
      </c>
    </row>
    <row r="27" spans="1:2" x14ac:dyDescent="0.25">
      <c r="A27" s="199" t="s">
        <v>104</v>
      </c>
      <c r="B27" s="360" t="s">
        <v>142</v>
      </c>
    </row>
    <row r="28" spans="1:2" x14ac:dyDescent="0.25">
      <c r="A28" s="198" t="s">
        <v>99</v>
      </c>
      <c r="B28" s="359" t="s">
        <v>143</v>
      </c>
    </row>
    <row r="29" spans="1:2" x14ac:dyDescent="0.25">
      <c r="A29" s="196" t="s">
        <v>74</v>
      </c>
      <c r="B29" s="197" t="s">
        <v>144</v>
      </c>
    </row>
    <row r="30" spans="1:2" x14ac:dyDescent="0.25">
      <c r="A30" s="196" t="s">
        <v>75</v>
      </c>
      <c r="B30" s="197" t="s">
        <v>145</v>
      </c>
    </row>
    <row r="31" spans="1:2" x14ac:dyDescent="0.25">
      <c r="A31" s="196" t="s">
        <v>76</v>
      </c>
      <c r="B31" s="197" t="s">
        <v>146</v>
      </c>
    </row>
    <row r="32" spans="1:2" x14ac:dyDescent="0.25">
      <c r="A32" s="196" t="s">
        <v>77</v>
      </c>
      <c r="B32" s="197" t="s">
        <v>147</v>
      </c>
    </row>
    <row r="33" spans="1:2" x14ac:dyDescent="0.25">
      <c r="A33" s="198" t="s">
        <v>78</v>
      </c>
      <c r="B33" s="197" t="s">
        <v>148</v>
      </c>
    </row>
    <row r="34" spans="1:2" x14ac:dyDescent="0.25">
      <c r="A34" s="196" t="s">
        <v>79</v>
      </c>
      <c r="B34" s="197" t="s">
        <v>149</v>
      </c>
    </row>
    <row r="35" spans="1:2" x14ac:dyDescent="0.25">
      <c r="A35" s="196" t="s">
        <v>46</v>
      </c>
      <c r="B35" s="197" t="s">
        <v>150</v>
      </c>
    </row>
    <row r="36" spans="1:2" x14ac:dyDescent="0.25">
      <c r="A36" s="196" t="s">
        <v>9</v>
      </c>
      <c r="B36" s="197" t="s">
        <v>151</v>
      </c>
    </row>
    <row r="37" spans="1:2" x14ac:dyDescent="0.25">
      <c r="A37" s="196"/>
      <c r="B37" s="197"/>
    </row>
    <row r="38" spans="1:2" x14ac:dyDescent="0.25">
      <c r="A38" s="198" t="s">
        <v>14</v>
      </c>
      <c r="B38" s="359" t="s">
        <v>152</v>
      </c>
    </row>
    <row r="39" spans="1:2" x14ac:dyDescent="0.25">
      <c r="A39" s="198" t="s">
        <v>105</v>
      </c>
      <c r="B39" s="359" t="s">
        <v>105</v>
      </c>
    </row>
    <row r="40" spans="1:2" x14ac:dyDescent="0.25">
      <c r="A40" s="198" t="s">
        <v>100</v>
      </c>
      <c r="B40" s="359" t="s">
        <v>153</v>
      </c>
    </row>
    <row r="41" spans="1:2" x14ac:dyDescent="0.25">
      <c r="A41" s="198" t="s">
        <v>101</v>
      </c>
      <c r="B41" s="359" t="s">
        <v>154</v>
      </c>
    </row>
    <row r="42" spans="1:2" x14ac:dyDescent="0.25">
      <c r="A42" s="196" t="s">
        <v>80</v>
      </c>
      <c r="B42" s="197" t="s">
        <v>155</v>
      </c>
    </row>
    <row r="43" spans="1:2" x14ac:dyDescent="0.25">
      <c r="A43" s="196" t="s">
        <v>81</v>
      </c>
      <c r="B43" s="197" t="s">
        <v>156</v>
      </c>
    </row>
    <row r="44" spans="1:2" x14ac:dyDescent="0.25">
      <c r="A44" s="196" t="s">
        <v>82</v>
      </c>
      <c r="B44" s="197" t="s">
        <v>157</v>
      </c>
    </row>
    <row r="45" spans="1:2" x14ac:dyDescent="0.25">
      <c r="A45" s="196" t="s">
        <v>83</v>
      </c>
      <c r="B45" s="197" t="s">
        <v>158</v>
      </c>
    </row>
    <row r="46" spans="1:2" x14ac:dyDescent="0.25">
      <c r="A46" s="196" t="s">
        <v>15</v>
      </c>
      <c r="B46" s="197" t="s">
        <v>159</v>
      </c>
    </row>
    <row r="47" spans="1:2" x14ac:dyDescent="0.25">
      <c r="A47" s="196"/>
      <c r="B47" s="197"/>
    </row>
    <row r="48" spans="1:2" x14ac:dyDescent="0.25">
      <c r="A48" s="196" t="s">
        <v>84</v>
      </c>
      <c r="B48" s="197" t="s">
        <v>160</v>
      </c>
    </row>
    <row r="49" spans="1:2" x14ac:dyDescent="0.25">
      <c r="A49" s="198" t="s">
        <v>106</v>
      </c>
      <c r="B49" s="359" t="s">
        <v>161</v>
      </c>
    </row>
    <row r="50" spans="1:2" x14ac:dyDescent="0.25">
      <c r="A50" s="198" t="s">
        <v>107</v>
      </c>
      <c r="B50" s="359" t="s">
        <v>162</v>
      </c>
    </row>
    <row r="51" spans="1:2" x14ac:dyDescent="0.25">
      <c r="A51" s="198" t="s">
        <v>108</v>
      </c>
      <c r="B51" s="359" t="s">
        <v>163</v>
      </c>
    </row>
    <row r="52" spans="1:2" x14ac:dyDescent="0.25">
      <c r="A52" s="198" t="s">
        <v>13</v>
      </c>
      <c r="B52" s="359" t="s">
        <v>164</v>
      </c>
    </row>
    <row r="53" spans="1:2" x14ac:dyDescent="0.25">
      <c r="A53" s="198" t="s">
        <v>109</v>
      </c>
      <c r="B53" s="359" t="s">
        <v>165</v>
      </c>
    </row>
    <row r="54" spans="1:2" x14ac:dyDescent="0.25">
      <c r="A54" s="198" t="s">
        <v>44</v>
      </c>
      <c r="B54" s="359" t="s">
        <v>166</v>
      </c>
    </row>
    <row r="55" spans="1:2" x14ac:dyDescent="0.25">
      <c r="A55" s="196" t="s">
        <v>85</v>
      </c>
      <c r="B55" s="197" t="s">
        <v>167</v>
      </c>
    </row>
    <row r="56" spans="1:2" x14ac:dyDescent="0.25">
      <c r="A56" s="198" t="s">
        <v>111</v>
      </c>
      <c r="B56" s="359" t="s">
        <v>168</v>
      </c>
    </row>
    <row r="57" spans="1:2" x14ac:dyDescent="0.25">
      <c r="A57" s="196"/>
      <c r="B57" s="197"/>
    </row>
    <row r="58" spans="1:2" x14ac:dyDescent="0.25">
      <c r="A58" s="198" t="s">
        <v>86</v>
      </c>
      <c r="B58" s="359" t="s">
        <v>169</v>
      </c>
    </row>
    <row r="59" spans="1:2" x14ac:dyDescent="0.25">
      <c r="A59" s="198" t="s">
        <v>87</v>
      </c>
      <c r="B59" s="359" t="s">
        <v>170</v>
      </c>
    </row>
    <row r="60" spans="1:2" x14ac:dyDescent="0.25">
      <c r="A60" s="198" t="s">
        <v>88</v>
      </c>
      <c r="B60" s="359" t="s">
        <v>171</v>
      </c>
    </row>
    <row r="61" spans="1:2" x14ac:dyDescent="0.25">
      <c r="A61" s="198" t="s">
        <v>110</v>
      </c>
      <c r="B61" s="359" t="s">
        <v>172</v>
      </c>
    </row>
    <row r="62" spans="1:2" x14ac:dyDescent="0.25">
      <c r="A62" s="198" t="s">
        <v>63</v>
      </c>
      <c r="B62" s="359" t="s">
        <v>173</v>
      </c>
    </row>
    <row r="63" spans="1:2" x14ac:dyDescent="0.25">
      <c r="A63" s="196" t="s">
        <v>16</v>
      </c>
      <c r="B63" s="197" t="s">
        <v>174</v>
      </c>
    </row>
    <row r="64" spans="1:2" x14ac:dyDescent="0.25">
      <c r="A64" s="196" t="s">
        <v>18</v>
      </c>
      <c r="B64" s="197" t="s">
        <v>175</v>
      </c>
    </row>
    <row r="65" spans="1:2" x14ac:dyDescent="0.25">
      <c r="A65" s="196" t="s">
        <v>17</v>
      </c>
      <c r="B65" s="197" t="s">
        <v>152</v>
      </c>
    </row>
    <row r="66" spans="1:2" x14ac:dyDescent="0.25">
      <c r="A66" s="198" t="s">
        <v>50</v>
      </c>
      <c r="B66" s="359" t="s">
        <v>176</v>
      </c>
    </row>
    <row r="67" spans="1:2" x14ac:dyDescent="0.25">
      <c r="A67" s="196" t="s">
        <v>89</v>
      </c>
      <c r="B67" s="197" t="s">
        <v>177</v>
      </c>
    </row>
    <row r="68" spans="1:2" x14ac:dyDescent="0.25">
      <c r="A68" s="196" t="s">
        <v>90</v>
      </c>
      <c r="B68" s="197" t="s">
        <v>178</v>
      </c>
    </row>
    <row r="69" spans="1:2" x14ac:dyDescent="0.25">
      <c r="A69" s="196" t="s">
        <v>91</v>
      </c>
      <c r="B69" s="197" t="s">
        <v>179</v>
      </c>
    </row>
    <row r="70" spans="1:2" x14ac:dyDescent="0.25">
      <c r="A70" s="198" t="s">
        <v>112</v>
      </c>
      <c r="B70" s="359" t="s">
        <v>180</v>
      </c>
    </row>
    <row r="71" spans="1:2" x14ac:dyDescent="0.25">
      <c r="A71" s="198" t="s">
        <v>19</v>
      </c>
      <c r="B71" s="359" t="s">
        <v>181</v>
      </c>
    </row>
    <row r="72" spans="1:2" x14ac:dyDescent="0.25">
      <c r="A72" s="198" t="s">
        <v>20</v>
      </c>
      <c r="B72" s="359" t="s">
        <v>182</v>
      </c>
    </row>
    <row r="73" spans="1:2" x14ac:dyDescent="0.25">
      <c r="A73" s="198" t="s">
        <v>21</v>
      </c>
      <c r="B73" s="359" t="s">
        <v>183</v>
      </c>
    </row>
    <row r="74" spans="1:2" x14ac:dyDescent="0.25">
      <c r="A74" s="198" t="s">
        <v>113</v>
      </c>
      <c r="B74" s="359" t="s">
        <v>184</v>
      </c>
    </row>
    <row r="75" spans="1:2" x14ac:dyDescent="0.25">
      <c r="A75" s="196"/>
      <c r="B75" s="197"/>
    </row>
    <row r="76" spans="1:2" x14ac:dyDescent="0.25">
      <c r="A76" s="196" t="s">
        <v>33</v>
      </c>
      <c r="B76" s="197" t="s">
        <v>185</v>
      </c>
    </row>
    <row r="77" spans="1:2" x14ac:dyDescent="0.25">
      <c r="A77" s="196" t="s">
        <v>92</v>
      </c>
      <c r="B77" s="359" t="s">
        <v>186</v>
      </c>
    </row>
    <row r="78" spans="1:2" x14ac:dyDescent="0.25">
      <c r="A78" s="198" t="s">
        <v>53</v>
      </c>
      <c r="B78" s="359" t="s">
        <v>187</v>
      </c>
    </row>
    <row r="79" spans="1:2" x14ac:dyDescent="0.25">
      <c r="A79" s="196" t="s">
        <v>34</v>
      </c>
      <c r="B79" s="197" t="s">
        <v>188</v>
      </c>
    </row>
    <row r="80" spans="1:2" x14ac:dyDescent="0.25">
      <c r="A80" s="196" t="s">
        <v>35</v>
      </c>
      <c r="B80" s="197" t="s">
        <v>189</v>
      </c>
    </row>
    <row r="81" spans="1:2" x14ac:dyDescent="0.25">
      <c r="A81" s="196" t="s">
        <v>93</v>
      </c>
      <c r="B81" s="359" t="s">
        <v>190</v>
      </c>
    </row>
    <row r="82" spans="1:2" x14ac:dyDescent="0.25">
      <c r="A82" s="196" t="s">
        <v>36</v>
      </c>
      <c r="B82" s="197" t="s">
        <v>191</v>
      </c>
    </row>
    <row r="83" spans="1:2" x14ac:dyDescent="0.25">
      <c r="A83" s="196" t="s">
        <v>94</v>
      </c>
      <c r="B83" s="197" t="s">
        <v>192</v>
      </c>
    </row>
    <row r="84" spans="1:2" x14ac:dyDescent="0.25">
      <c r="A84" s="198" t="s">
        <v>95</v>
      </c>
      <c r="B84" s="359" t="s">
        <v>193</v>
      </c>
    </row>
    <row r="85" spans="1:2" x14ac:dyDescent="0.25">
      <c r="A85" s="198" t="s">
        <v>37</v>
      </c>
      <c r="B85" s="359" t="s">
        <v>194</v>
      </c>
    </row>
    <row r="86" spans="1:2" x14ac:dyDescent="0.25">
      <c r="A86" s="198" t="s">
        <v>38</v>
      </c>
      <c r="B86" s="359" t="s">
        <v>195</v>
      </c>
    </row>
    <row r="87" spans="1:2" x14ac:dyDescent="0.25">
      <c r="A87" s="196"/>
      <c r="B87" s="197"/>
    </row>
    <row r="88" spans="1:2" x14ac:dyDescent="0.25">
      <c r="A88" s="198" t="s">
        <v>117</v>
      </c>
      <c r="B88" s="359" t="s">
        <v>196</v>
      </c>
    </row>
    <row r="89" spans="1:2" x14ac:dyDescent="0.25">
      <c r="A89" s="198" t="s">
        <v>102</v>
      </c>
      <c r="B89" s="359" t="s">
        <v>102</v>
      </c>
    </row>
    <row r="90" spans="1:2" x14ac:dyDescent="0.25">
      <c r="A90" s="198" t="s">
        <v>103</v>
      </c>
      <c r="B90" s="359" t="s">
        <v>143</v>
      </c>
    </row>
    <row r="91" spans="1:2" x14ac:dyDescent="0.25">
      <c r="A91" s="198"/>
      <c r="B91" s="359"/>
    </row>
    <row r="92" spans="1:2" x14ac:dyDescent="0.25">
      <c r="A92" s="200" t="s">
        <v>62</v>
      </c>
      <c r="B92" s="361" t="s">
        <v>197</v>
      </c>
    </row>
    <row r="93" spans="1:2" x14ac:dyDescent="0.25">
      <c r="A93" s="198" t="s">
        <v>96</v>
      </c>
      <c r="B93" s="359" t="s">
        <v>123</v>
      </c>
    </row>
    <row r="94" spans="1:2" x14ac:dyDescent="0.25">
      <c r="A94" s="198" t="s">
        <v>49</v>
      </c>
      <c r="B94" s="359" t="s">
        <v>198</v>
      </c>
    </row>
    <row r="95" spans="1:2" x14ac:dyDescent="0.25">
      <c r="A95" s="198" t="s">
        <v>50</v>
      </c>
      <c r="B95" s="359" t="s">
        <v>176</v>
      </c>
    </row>
    <row r="96" spans="1:2" x14ac:dyDescent="0.25">
      <c r="A96" s="198" t="s">
        <v>48</v>
      </c>
      <c r="B96" s="359" t="s">
        <v>199</v>
      </c>
    </row>
    <row r="97" spans="1:2" x14ac:dyDescent="0.25">
      <c r="A97" s="198" t="s">
        <v>51</v>
      </c>
      <c r="B97" s="359" t="s">
        <v>200</v>
      </c>
    </row>
    <row r="98" spans="1:2" x14ac:dyDescent="0.25">
      <c r="A98" s="198" t="s">
        <v>52</v>
      </c>
      <c r="B98" s="359" t="s">
        <v>201</v>
      </c>
    </row>
    <row r="99" spans="1:2" x14ac:dyDescent="0.25">
      <c r="A99" s="198" t="s">
        <v>115</v>
      </c>
      <c r="B99" s="359" t="s">
        <v>202</v>
      </c>
    </row>
    <row r="100" spans="1:2" x14ac:dyDescent="0.25">
      <c r="A100" s="198" t="s">
        <v>116</v>
      </c>
      <c r="B100" s="359" t="s">
        <v>203</v>
      </c>
    </row>
    <row r="101" spans="1:2" x14ac:dyDescent="0.25">
      <c r="A101" s="198" t="s">
        <v>45</v>
      </c>
      <c r="B101" s="359" t="s">
        <v>143</v>
      </c>
    </row>
    <row r="102" spans="1:2" x14ac:dyDescent="0.25">
      <c r="A102" s="198" t="s">
        <v>55</v>
      </c>
      <c r="B102" s="359" t="s">
        <v>204</v>
      </c>
    </row>
    <row r="103" spans="1:2" x14ac:dyDescent="0.25">
      <c r="A103" s="198" t="s">
        <v>56</v>
      </c>
      <c r="B103" s="359" t="s">
        <v>188</v>
      </c>
    </row>
    <row r="104" spans="1:2" x14ac:dyDescent="0.25">
      <c r="A104" s="198" t="s">
        <v>114</v>
      </c>
      <c r="B104" s="359" t="s">
        <v>205</v>
      </c>
    </row>
    <row r="105" spans="1:2" x14ac:dyDescent="0.25">
      <c r="A105" s="198" t="s">
        <v>59</v>
      </c>
      <c r="B105" s="359" t="s">
        <v>206</v>
      </c>
    </row>
    <row r="106" spans="1:2" x14ac:dyDescent="0.25">
      <c r="A106" s="198" t="s">
        <v>54</v>
      </c>
      <c r="B106" s="359" t="s">
        <v>207</v>
      </c>
    </row>
    <row r="107" spans="1:2" x14ac:dyDescent="0.25">
      <c r="A107" s="198" t="s">
        <v>57</v>
      </c>
      <c r="B107" s="359" t="s">
        <v>208</v>
      </c>
    </row>
    <row r="108" spans="1:2" x14ac:dyDescent="0.25">
      <c r="A108" s="198" t="s">
        <v>58</v>
      </c>
      <c r="B108" s="359" t="s">
        <v>209</v>
      </c>
    </row>
    <row r="109" spans="1:2" x14ac:dyDescent="0.25">
      <c r="A109" s="198" t="s">
        <v>97</v>
      </c>
      <c r="B109" s="359" t="s">
        <v>210</v>
      </c>
    </row>
  </sheetData>
  <sheetProtection password="EA71" sheet="1" objects="1" scenarios="1"/>
  <pageMargins left="0.70866141732283472" right="0.70866141732283472" top="0.78740157480314965" bottom="0.78740157480314965" header="0.31496062992125984" footer="0.31496062992125984"/>
  <pageSetup paperSize="9" scale="72" fitToHeight="4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6" baseType="variant">
      <vt:variant>
        <vt:lpstr>Hojas de cálculo</vt:lpstr>
      </vt:variant>
      <vt:variant>
        <vt:i4>104</vt:i4>
      </vt:variant>
      <vt:variant>
        <vt:lpstr>Gráficos</vt:lpstr>
      </vt:variant>
      <vt:variant>
        <vt:i4>3</vt:i4>
      </vt:variant>
      <vt:variant>
        <vt:lpstr>Rangos con nombre</vt:lpstr>
      </vt:variant>
      <vt:variant>
        <vt:i4>11</vt:i4>
      </vt:variant>
    </vt:vector>
  </HeadingPairs>
  <TitlesOfParts>
    <vt:vector size="118" baseType="lpstr">
      <vt:lpstr>Info</vt:lpstr>
      <vt:lpstr>Entrada Recría (diario)</vt:lpstr>
      <vt:lpstr>Entrada Recría (semanal)</vt:lpstr>
      <vt:lpstr>Entrada Prod (diario)</vt:lpstr>
      <vt:lpstr>Entrada Prod (semanal)</vt:lpstr>
      <vt:lpstr>Salida Recría</vt:lpstr>
      <vt:lpstr>Salida Prod</vt:lpstr>
      <vt:lpstr>Salida pc,cp,ca,ic</vt:lpstr>
      <vt:lpstr>Tabelle6</vt:lpstr>
      <vt:lpstr>Tabelle7</vt:lpstr>
      <vt:lpstr>Tabelle8</vt:lpstr>
      <vt:lpstr>Tabelle9</vt:lpstr>
      <vt:lpstr>Tabelle10</vt:lpstr>
      <vt:lpstr>Tabelle11</vt:lpstr>
      <vt:lpstr>Tabelle12</vt:lpstr>
      <vt:lpstr>Tabelle13</vt:lpstr>
      <vt:lpstr>Tabelle14</vt:lpstr>
      <vt:lpstr>Tabelle15</vt:lpstr>
      <vt:lpstr>Tabelle16</vt:lpstr>
      <vt:lpstr>Tabelle17</vt:lpstr>
      <vt:lpstr>Tabelle18</vt:lpstr>
      <vt:lpstr>Tabelle19</vt:lpstr>
      <vt:lpstr>Tabelle20</vt:lpstr>
      <vt:lpstr>Tabelle21</vt:lpstr>
      <vt:lpstr>Tabelle22</vt:lpstr>
      <vt:lpstr>Tabelle23</vt:lpstr>
      <vt:lpstr>Tabelle24</vt:lpstr>
      <vt:lpstr>Tabelle25</vt:lpstr>
      <vt:lpstr>Tabelle26</vt:lpstr>
      <vt:lpstr>Tabelle27</vt:lpstr>
      <vt:lpstr>Tabelle28</vt:lpstr>
      <vt:lpstr>Tabelle29</vt:lpstr>
      <vt:lpstr>Tabelle30</vt:lpstr>
      <vt:lpstr>Tabelle31</vt:lpstr>
      <vt:lpstr>Tabelle32</vt:lpstr>
      <vt:lpstr>Tabelle33</vt:lpstr>
      <vt:lpstr>Tabelle34</vt:lpstr>
      <vt:lpstr>Tabelle35</vt:lpstr>
      <vt:lpstr>Tabelle36</vt:lpstr>
      <vt:lpstr>Tabelle37</vt:lpstr>
      <vt:lpstr>Tabelle38</vt:lpstr>
      <vt:lpstr>Tabelle39</vt:lpstr>
      <vt:lpstr>Tabelle40</vt:lpstr>
      <vt:lpstr>Tabelle41</vt:lpstr>
      <vt:lpstr>Tabelle42</vt:lpstr>
      <vt:lpstr>Tabelle43</vt:lpstr>
      <vt:lpstr>Tabelle44</vt:lpstr>
      <vt:lpstr>Tabelle45</vt:lpstr>
      <vt:lpstr>Tabelle46</vt:lpstr>
      <vt:lpstr>Tabelle47</vt:lpstr>
      <vt:lpstr>Tabelle48</vt:lpstr>
      <vt:lpstr>Tabelle49</vt:lpstr>
      <vt:lpstr>Tabelle50</vt:lpstr>
      <vt:lpstr>Tabelle51</vt:lpstr>
      <vt:lpstr>Tabelle52</vt:lpstr>
      <vt:lpstr>Tabelle53</vt:lpstr>
      <vt:lpstr>Tabelle54</vt:lpstr>
      <vt:lpstr>Tabelle55</vt:lpstr>
      <vt:lpstr>Tabelle56</vt:lpstr>
      <vt:lpstr>Tabelle57</vt:lpstr>
      <vt:lpstr>Tabelle58</vt:lpstr>
      <vt:lpstr>Tabelle59</vt:lpstr>
      <vt:lpstr>Tabelle60</vt:lpstr>
      <vt:lpstr>Tabelle61</vt:lpstr>
      <vt:lpstr>Tabelle62</vt:lpstr>
      <vt:lpstr>Tabelle63</vt:lpstr>
      <vt:lpstr>Tabelle64</vt:lpstr>
      <vt:lpstr>Tabelle65</vt:lpstr>
      <vt:lpstr>Tabelle66</vt:lpstr>
      <vt:lpstr>Tabelle67</vt:lpstr>
      <vt:lpstr>Tabelle68</vt:lpstr>
      <vt:lpstr>Tabelle69</vt:lpstr>
      <vt:lpstr>Tabelle70</vt:lpstr>
      <vt:lpstr>Tabelle71</vt:lpstr>
      <vt:lpstr>Tabelle72</vt:lpstr>
      <vt:lpstr>Tabelle73</vt:lpstr>
      <vt:lpstr>Tabelle74</vt:lpstr>
      <vt:lpstr>Tabelle75</vt:lpstr>
      <vt:lpstr>Tabelle76</vt:lpstr>
      <vt:lpstr>Tabelle77</vt:lpstr>
      <vt:lpstr>Tabelle78</vt:lpstr>
      <vt:lpstr>Tabelle79</vt:lpstr>
      <vt:lpstr>Tabelle80</vt:lpstr>
      <vt:lpstr>Tabelle81</vt:lpstr>
      <vt:lpstr>Tabelle82</vt:lpstr>
      <vt:lpstr>Tabelle83</vt:lpstr>
      <vt:lpstr>Tabelle84</vt:lpstr>
      <vt:lpstr>Tabelle85</vt:lpstr>
      <vt:lpstr>Tabelle86</vt:lpstr>
      <vt:lpstr>Tabelle87</vt:lpstr>
      <vt:lpstr>Tabelle88</vt:lpstr>
      <vt:lpstr>Tabelle89</vt:lpstr>
      <vt:lpstr>Tabelle90</vt:lpstr>
      <vt:lpstr>Tabelle91</vt:lpstr>
      <vt:lpstr>Tabelle92</vt:lpstr>
      <vt:lpstr>Tabelle93</vt:lpstr>
      <vt:lpstr>Tabelle94</vt:lpstr>
      <vt:lpstr>Tabelle95</vt:lpstr>
      <vt:lpstr>Tabelle96</vt:lpstr>
      <vt:lpstr>Tabelle97</vt:lpstr>
      <vt:lpstr>Tabelle98</vt:lpstr>
      <vt:lpstr>Tabelle99</vt:lpstr>
      <vt:lpstr>Tabelle100</vt:lpstr>
      <vt:lpstr>Traducción</vt:lpstr>
      <vt:lpstr>Graf Recría</vt:lpstr>
      <vt:lpstr>Graf Prod</vt:lpstr>
      <vt:lpstr>Graf pc,cp,ca,ic</vt:lpstr>
      <vt:lpstr>'Entrada Prod (diario)'!Área_de_impresión</vt:lpstr>
      <vt:lpstr>'Entrada Prod (semanal)'!Área_de_impresión</vt:lpstr>
      <vt:lpstr>'Entrada Recría (diario)'!Área_de_impresión</vt:lpstr>
      <vt:lpstr>'Entrada Recría (semanal)'!Área_de_impresión</vt:lpstr>
      <vt:lpstr>'Salida pc,cp,ca,ic'!Área_de_impresión</vt:lpstr>
      <vt:lpstr>'Salida Prod'!Área_de_impresión</vt:lpstr>
      <vt:lpstr>'Salida Recría'!Área_de_impresión</vt:lpstr>
      <vt:lpstr>'Entrada Prod (diario)'!Títulos_a_imprimir</vt:lpstr>
      <vt:lpstr>'Entrada Prod (semanal)'!Títulos_a_imprimir</vt:lpstr>
      <vt:lpstr>'Salida pc,cp,ca,ic'!Títulos_a_imprimir</vt:lpstr>
      <vt:lpstr>'Salida Prod'!Títulos_a_imprimir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propietario</dc:creator>
  <cp:lastModifiedBy>propietario</cp:lastModifiedBy>
  <cp:lastPrinted>2015-09-29T08:36:40Z</cp:lastPrinted>
  <dcterms:created xsi:type="dcterms:W3CDTF">2001-03-27T08:46:07Z</dcterms:created>
  <dcterms:modified xsi:type="dcterms:W3CDTF">2017-02-08T12:27:15Z</dcterms:modified>
</cp:coreProperties>
</file>